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D:\01 - AMBULANCIA\planilha corrigida pelo setor de contratos\"/>
    </mc:Choice>
  </mc:AlternateContent>
  <xr:revisionPtr revIDLastSave="0" documentId="13_ncr:1_{2865ACAD-F00B-41D5-8673-B9ED1A2BEBE8}" xr6:coauthVersionLast="47" xr6:coauthVersionMax="47" xr10:uidLastSave="{00000000-0000-0000-0000-000000000000}"/>
  <bookViews>
    <workbookView xWindow="-120" yWindow="-120" windowWidth="21840" windowHeight="13140" tabRatio="869" firstSheet="2" activeTab="2" xr2:uid="{00000000-000D-0000-FFFF-FFFF00000000}"/>
  </bookViews>
  <sheets>
    <sheet name="Plan2" sheetId="2" state="hidden" r:id="rId1"/>
    <sheet name="Plan3" sheetId="3" state="hidden" r:id="rId2"/>
    <sheet name="Planilha" sheetId="87" r:id="rId3"/>
    <sheet name="Motorista - Diurno" sheetId="11" r:id="rId4"/>
    <sheet name="Motorista - Noturno" sheetId="67" r:id="rId5"/>
    <sheet name="Técnico de Enfermagem - Diurno" sheetId="88" r:id="rId6"/>
    <sheet name="Técnico de Enfermagem - Noturno" sheetId="89" r:id="rId7"/>
    <sheet name="Enfermeiro - Diurno" sheetId="83" r:id="rId8"/>
    <sheet name="Enfermeiro - Noturno" sheetId="84" r:id="rId9"/>
    <sheet name="Médico - Diurno " sheetId="85" r:id="rId10"/>
    <sheet name="Médico - Noturno" sheetId="86" r:id="rId11"/>
    <sheet name="Uniformes" sheetId="82" r:id="rId12"/>
    <sheet name="Materiais" sheetId="90" r:id="rId13"/>
    <sheet name="Equipamentos" sheetId="59" r:id="rId14"/>
  </sheets>
  <definedNames>
    <definedName name="_xlnm.Print_Area" localSheetId="7">'Enfermeiro - Diurno'!$A$1:$E$112</definedName>
    <definedName name="_xlnm.Print_Area" localSheetId="8">'Enfermeiro - Noturno'!$A$1:$E$113</definedName>
    <definedName name="_xlnm.Print_Area" localSheetId="13">Equipamentos!$A$1:$H$35</definedName>
    <definedName name="_xlnm.Print_Area" localSheetId="12">Materiais!$A$1:$H$27</definedName>
    <definedName name="_xlnm.Print_Area" localSheetId="9">'Médico - Diurno '!$A$1:$E$122</definedName>
    <definedName name="_xlnm.Print_Area" localSheetId="10">'Médico - Noturno'!$A$1:$E$122</definedName>
    <definedName name="_xlnm.Print_Area" localSheetId="3">'Motorista - Diurno'!$A$1:$G$112</definedName>
    <definedName name="_xlnm.Print_Area" localSheetId="4">'Motorista - Noturno'!$A$1:$G$113</definedName>
    <definedName name="_xlnm.Print_Area" localSheetId="2">Planilha!$A$1:$H$36</definedName>
    <definedName name="_xlnm.Print_Area" localSheetId="5">'Técnico de Enfermagem - Diurno'!$A$1:$E$113</definedName>
    <definedName name="_xlnm.Print_Area" localSheetId="6">'Técnico de Enfermagem - Noturno'!$A$1:$E$113</definedName>
    <definedName name="_xlnm.Print_Area" localSheetId="11">Uniformes!$A$1:$H$22</definedName>
    <definedName name="_xlnm.Print_Titles" localSheetId="7">'Enfermeiro - Diurno'!$1:$1</definedName>
    <definedName name="_xlnm.Print_Titles" localSheetId="8">'Enfermeiro - Noturno'!$1:$1</definedName>
    <definedName name="_xlnm.Print_Titles" localSheetId="9">'Médico - Diurno '!$1:$1</definedName>
    <definedName name="_xlnm.Print_Titles" localSheetId="10">'Médico - Noturno'!$1:$1</definedName>
    <definedName name="_xlnm.Print_Titles" localSheetId="3">'Motorista - Diurno'!$1:$1</definedName>
    <definedName name="_xlnm.Print_Titles" localSheetId="4">'Motorista - Noturno'!$1:$1</definedName>
    <definedName name="_xlnm.Print_Titles" localSheetId="5">'Técnico de Enfermagem - Diurno'!$1:$1</definedName>
    <definedName name="_xlnm.Print_Titles" localSheetId="6">'Técnico de Enfermagem - Noturno'!$1:$1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84" l="1"/>
  <c r="C97" i="86" l="1"/>
  <c r="C102" i="86" s="1"/>
  <c r="E75" i="86"/>
  <c r="D75" i="86"/>
  <c r="C61" i="86"/>
  <c r="E48" i="86"/>
  <c r="E52" i="86" s="1"/>
  <c r="D48" i="86"/>
  <c r="D52" i="86" s="1"/>
  <c r="E20" i="86"/>
  <c r="E18" i="86"/>
  <c r="D20" i="86"/>
  <c r="D18" i="86"/>
  <c r="C13" i="86"/>
  <c r="C97" i="85"/>
  <c r="C102" i="85" s="1"/>
  <c r="E75" i="85"/>
  <c r="D75" i="85"/>
  <c r="E59" i="85"/>
  <c r="D52" i="85"/>
  <c r="E48" i="85"/>
  <c r="E52" i="85" s="1"/>
  <c r="D48" i="85"/>
  <c r="C41" i="85"/>
  <c r="E20" i="85"/>
  <c r="D20" i="85"/>
  <c r="C13" i="85"/>
  <c r="E18" i="85" s="1"/>
  <c r="E25" i="85" s="1"/>
  <c r="C103" i="84"/>
  <c r="C98" i="84"/>
  <c r="C62" i="84"/>
  <c r="E49" i="84"/>
  <c r="E53" i="84" s="1"/>
  <c r="D49" i="84"/>
  <c r="D53" i="84" s="1"/>
  <c r="C41" i="84"/>
  <c r="E25" i="84"/>
  <c r="E61" i="84" s="1"/>
  <c r="E20" i="84"/>
  <c r="D20" i="84"/>
  <c r="E18" i="84"/>
  <c r="D18" i="84"/>
  <c r="C97" i="83"/>
  <c r="C102" i="83" s="1"/>
  <c r="E75" i="83"/>
  <c r="D75" i="83"/>
  <c r="E58" i="83"/>
  <c r="C61" i="83"/>
  <c r="E52" i="83"/>
  <c r="E48" i="83"/>
  <c r="D48" i="83"/>
  <c r="D52" i="83" s="1"/>
  <c r="C41" i="83"/>
  <c r="E20" i="83"/>
  <c r="D20" i="83"/>
  <c r="E18" i="83"/>
  <c r="E25" i="83" s="1"/>
  <c r="D18" i="83"/>
  <c r="C98" i="89"/>
  <c r="C103" i="89" s="1"/>
  <c r="C62" i="89"/>
  <c r="E45" i="89"/>
  <c r="D45" i="89"/>
  <c r="D49" i="89" s="1"/>
  <c r="D53" i="89" s="1"/>
  <c r="C28" i="89"/>
  <c r="C30" i="89"/>
  <c r="E20" i="89"/>
  <c r="D20" i="89"/>
  <c r="E18" i="89"/>
  <c r="E47" i="89" s="1"/>
  <c r="D18" i="89"/>
  <c r="D47" i="89" s="1"/>
  <c r="C98" i="88"/>
  <c r="C103" i="88" s="1"/>
  <c r="C62" i="88"/>
  <c r="E45" i="88"/>
  <c r="D45" i="88"/>
  <c r="C41" i="88"/>
  <c r="E20" i="88"/>
  <c r="D20" i="88"/>
  <c r="E18" i="88"/>
  <c r="E47" i="88" s="1"/>
  <c r="E49" i="88" s="1"/>
  <c r="E53" i="88" s="1"/>
  <c r="D18" i="88"/>
  <c r="D25" i="88" s="1"/>
  <c r="C98" i="67"/>
  <c r="C103" i="67" s="1"/>
  <c r="C62" i="67"/>
  <c r="E47" i="67"/>
  <c r="G45" i="67"/>
  <c r="F45" i="67"/>
  <c r="E45" i="67"/>
  <c r="E49" i="67" s="1"/>
  <c r="E53" i="67" s="1"/>
  <c r="D45" i="67"/>
  <c r="C41" i="67"/>
  <c r="G20" i="67"/>
  <c r="F20" i="67"/>
  <c r="E20" i="67"/>
  <c r="D20" i="67"/>
  <c r="G18" i="67"/>
  <c r="F18" i="67"/>
  <c r="F47" i="67" s="1"/>
  <c r="E18" i="67"/>
  <c r="D18" i="67"/>
  <c r="D21" i="67" s="1"/>
  <c r="C97" i="11"/>
  <c r="C102" i="11" s="1"/>
  <c r="C61" i="11"/>
  <c r="D46" i="11"/>
  <c r="G44" i="11"/>
  <c r="G48" i="11" s="1"/>
  <c r="G52" i="11" s="1"/>
  <c r="F44" i="11"/>
  <c r="E44" i="11"/>
  <c r="D44" i="11"/>
  <c r="D48" i="11" s="1"/>
  <c r="D52" i="11" s="1"/>
  <c r="C41" i="11"/>
  <c r="G20" i="11"/>
  <c r="F20" i="11"/>
  <c r="E20" i="11"/>
  <c r="D20" i="11"/>
  <c r="G18" i="11"/>
  <c r="G46" i="11" s="1"/>
  <c r="F18" i="11"/>
  <c r="F46" i="11" s="1"/>
  <c r="E18" i="11"/>
  <c r="E25" i="11" s="1"/>
  <c r="D18" i="11"/>
  <c r="D25" i="11" s="1"/>
  <c r="D59" i="11" s="1"/>
  <c r="E60" i="11" l="1"/>
  <c r="E56" i="11"/>
  <c r="E59" i="11"/>
  <c r="E29" i="11"/>
  <c r="E58" i="11"/>
  <c r="F49" i="67"/>
  <c r="F53" i="67" s="1"/>
  <c r="D58" i="11"/>
  <c r="D29" i="11"/>
  <c r="D57" i="11"/>
  <c r="D60" i="11"/>
  <c r="D56" i="11"/>
  <c r="D61" i="11" s="1"/>
  <c r="F25" i="11"/>
  <c r="F48" i="11"/>
  <c r="F52" i="11" s="1"/>
  <c r="E57" i="11"/>
  <c r="E46" i="11"/>
  <c r="E48" i="11" s="1"/>
  <c r="E52" i="11" s="1"/>
  <c r="E21" i="67"/>
  <c r="E25" i="67" s="1"/>
  <c r="D47" i="67"/>
  <c r="D49" i="67" s="1"/>
  <c r="D53" i="67" s="1"/>
  <c r="E49" i="89"/>
  <c r="E53" i="89" s="1"/>
  <c r="E21" i="86"/>
  <c r="E25" i="86" s="1"/>
  <c r="D25" i="67"/>
  <c r="F21" i="67"/>
  <c r="F25" i="67" s="1"/>
  <c r="G47" i="67"/>
  <c r="G49" i="67" s="1"/>
  <c r="G53" i="67" s="1"/>
  <c r="D25" i="83"/>
  <c r="G25" i="11"/>
  <c r="G21" i="67"/>
  <c r="G25" i="67" s="1"/>
  <c r="D61" i="88"/>
  <c r="D57" i="88"/>
  <c r="D60" i="88"/>
  <c r="D59" i="88"/>
  <c r="D29" i="88"/>
  <c r="E25" i="88"/>
  <c r="D58" i="88"/>
  <c r="E57" i="83"/>
  <c r="E29" i="83"/>
  <c r="E60" i="83"/>
  <c r="E56" i="83"/>
  <c r="E61" i="83" s="1"/>
  <c r="E59" i="83"/>
  <c r="E58" i="85"/>
  <c r="E57" i="85"/>
  <c r="E60" i="85"/>
  <c r="E56" i="85"/>
  <c r="E29" i="85"/>
  <c r="D25" i="86"/>
  <c r="D21" i="86"/>
  <c r="D47" i="88"/>
  <c r="D49" i="88" s="1"/>
  <c r="D53" i="88" s="1"/>
  <c r="D21" i="89"/>
  <c r="D25" i="89" s="1"/>
  <c r="D21" i="84"/>
  <c r="D25" i="84" s="1"/>
  <c r="D18" i="85"/>
  <c r="D25" i="85" s="1"/>
  <c r="E21" i="89"/>
  <c r="E25" i="89" s="1"/>
  <c r="E29" i="84"/>
  <c r="E106" i="84"/>
  <c r="E57" i="84"/>
  <c r="E58" i="84"/>
  <c r="E59" i="84"/>
  <c r="E60" i="84"/>
  <c r="C61" i="85"/>
  <c r="E60" i="67" l="1"/>
  <c r="E58" i="67"/>
  <c r="E57" i="67"/>
  <c r="E59" i="67"/>
  <c r="E61" i="67"/>
  <c r="E29" i="67"/>
  <c r="D61" i="84"/>
  <c r="D57" i="84"/>
  <c r="D29" i="84"/>
  <c r="D60" i="84"/>
  <c r="D59" i="84"/>
  <c r="D58" i="84"/>
  <c r="E105" i="86"/>
  <c r="E58" i="86"/>
  <c r="E57" i="86"/>
  <c r="E60" i="86"/>
  <c r="E56" i="86"/>
  <c r="E29" i="86"/>
  <c r="E59" i="86"/>
  <c r="E58" i="89"/>
  <c r="E61" i="89"/>
  <c r="E57" i="89"/>
  <c r="E29" i="89"/>
  <c r="E60" i="89"/>
  <c r="E28" i="89"/>
  <c r="E30" i="89" s="1"/>
  <c r="E51" i="89" s="1"/>
  <c r="E59" i="89"/>
  <c r="G60" i="67"/>
  <c r="G59" i="67"/>
  <c r="G58" i="67"/>
  <c r="G61" i="67"/>
  <c r="G29" i="67"/>
  <c r="G57" i="67"/>
  <c r="F58" i="67"/>
  <c r="F60" i="67"/>
  <c r="F59" i="67"/>
  <c r="F29" i="67"/>
  <c r="F57" i="67"/>
  <c r="F61" i="67"/>
  <c r="E61" i="85"/>
  <c r="D62" i="88"/>
  <c r="E61" i="11"/>
  <c r="D60" i="89"/>
  <c r="D38" i="89"/>
  <c r="D29" i="89"/>
  <c r="D59" i="89"/>
  <c r="D37" i="89"/>
  <c r="D28" i="89"/>
  <c r="D30" i="89" s="1"/>
  <c r="D51" i="89" s="1"/>
  <c r="D58" i="89"/>
  <c r="D40" i="89"/>
  <c r="D61" i="89"/>
  <c r="D35" i="89"/>
  <c r="D57" i="89"/>
  <c r="D60" i="85"/>
  <c r="D56" i="85"/>
  <c r="D59" i="85"/>
  <c r="D58" i="85"/>
  <c r="D29" i="85"/>
  <c r="D57" i="85"/>
  <c r="E59" i="88"/>
  <c r="E58" i="88"/>
  <c r="E29" i="88"/>
  <c r="E61" i="88"/>
  <c r="E57" i="88"/>
  <c r="E62" i="88" s="1"/>
  <c r="E60" i="88"/>
  <c r="D59" i="83"/>
  <c r="D58" i="83"/>
  <c r="D29" i="83"/>
  <c r="D57" i="83"/>
  <c r="D56" i="83"/>
  <c r="D60" i="83"/>
  <c r="D60" i="86"/>
  <c r="D56" i="86"/>
  <c r="D59" i="86"/>
  <c r="D58" i="86"/>
  <c r="D29" i="86"/>
  <c r="D57" i="86"/>
  <c r="G60" i="11"/>
  <c r="G56" i="11"/>
  <c r="G57" i="11"/>
  <c r="G59" i="11"/>
  <c r="G58" i="11"/>
  <c r="G29" i="11"/>
  <c r="D60" i="67"/>
  <c r="D57" i="67"/>
  <c r="D61" i="67"/>
  <c r="D29" i="67"/>
  <c r="D59" i="67"/>
  <c r="D58" i="67"/>
  <c r="F105" i="11"/>
  <c r="F58" i="11"/>
  <c r="F29" i="11"/>
  <c r="F57" i="11"/>
  <c r="F59" i="11"/>
  <c r="F60" i="11"/>
  <c r="F56" i="11"/>
  <c r="E62" i="84"/>
  <c r="E61" i="86"/>
  <c r="E107" i="86" s="1"/>
  <c r="C41" i="86"/>
  <c r="E105" i="85"/>
  <c r="D105" i="85"/>
  <c r="C41" i="89"/>
  <c r="G61" i="11" l="1"/>
  <c r="G62" i="67"/>
  <c r="E34" i="89"/>
  <c r="E35" i="89"/>
  <c r="E36" i="89"/>
  <c r="E33" i="89"/>
  <c r="E62" i="67"/>
  <c r="F62" i="67"/>
  <c r="F61" i="11"/>
  <c r="D62" i="67"/>
  <c r="D61" i="85"/>
  <c r="D39" i="89"/>
  <c r="D36" i="89"/>
  <c r="D33" i="89"/>
  <c r="D41" i="89" s="1"/>
  <c r="D52" i="89" s="1"/>
  <c r="D54" i="89" s="1"/>
  <c r="D34" i="89"/>
  <c r="E38" i="89"/>
  <c r="E39" i="89"/>
  <c r="E40" i="89"/>
  <c r="E37" i="89"/>
  <c r="D62" i="84"/>
  <c r="D61" i="86"/>
  <c r="D61" i="83"/>
  <c r="D62" i="89"/>
  <c r="E62" i="89"/>
  <c r="C64" i="86"/>
  <c r="C71" i="86" s="1"/>
  <c r="C79" i="86" s="1"/>
  <c r="C81" i="86" s="1"/>
  <c r="C64" i="85"/>
  <c r="C71" i="85" s="1"/>
  <c r="C79" i="85" s="1"/>
  <c r="C81" i="85" s="1"/>
  <c r="C65" i="84"/>
  <c r="C72" i="84" s="1"/>
  <c r="C80" i="84" s="1"/>
  <c r="C82" i="84" s="1"/>
  <c r="C64" i="83"/>
  <c r="C71" i="83" s="1"/>
  <c r="C79" i="83" s="1"/>
  <c r="C81" i="83" s="1"/>
  <c r="C65" i="89"/>
  <c r="C72" i="89" s="1"/>
  <c r="C80" i="89" s="1"/>
  <c r="C82" i="89" s="1"/>
  <c r="C65" i="88"/>
  <c r="C72" i="88" s="1"/>
  <c r="C80" i="88" s="1"/>
  <c r="C82" i="88" s="1"/>
  <c r="C65" i="67"/>
  <c r="C72" i="67" s="1"/>
  <c r="C80" i="67" s="1"/>
  <c r="C82" i="67" s="1"/>
  <c r="C64" i="11"/>
  <c r="C71" i="11" s="1"/>
  <c r="C79" i="11" s="1"/>
  <c r="C81" i="11" s="1"/>
  <c r="E41" i="89" l="1"/>
  <c r="E52" i="89" s="1"/>
  <c r="E54" i="89" s="1"/>
  <c r="C98" i="86"/>
  <c r="C98" i="85"/>
  <c r="C99" i="84"/>
  <c r="C98" i="83" l="1"/>
  <c r="C99" i="89" l="1"/>
  <c r="C99" i="88"/>
  <c r="C99" i="67"/>
  <c r="C98" i="11"/>
  <c r="G15" i="90" l="1"/>
  <c r="H15" i="90" s="1"/>
  <c r="G14" i="90"/>
  <c r="H14" i="90" s="1"/>
  <c r="F12" i="90"/>
  <c r="E15" i="90"/>
  <c r="E14" i="90"/>
  <c r="E12" i="90"/>
  <c r="G7" i="90"/>
  <c r="H7" i="90" s="1"/>
  <c r="G6" i="90"/>
  <c r="H6" i="90" s="1"/>
  <c r="F4" i="90"/>
  <c r="E7" i="90"/>
  <c r="E6" i="90"/>
  <c r="E4" i="90"/>
  <c r="G4" i="90" l="1"/>
  <c r="H4" i="90" s="1"/>
  <c r="H8" i="90" s="1"/>
  <c r="G12" i="90"/>
  <c r="H12" i="90" s="1"/>
  <c r="H16" i="90" s="1"/>
  <c r="E6" i="82"/>
  <c r="G6" i="82" s="1"/>
  <c r="H6" i="82" s="1"/>
  <c r="E5" i="82"/>
  <c r="G5" i="82" s="1"/>
  <c r="H5" i="82" s="1"/>
  <c r="E4" i="82"/>
  <c r="G4" i="82" s="1"/>
  <c r="H4" i="82" s="1"/>
  <c r="A4" i="82"/>
  <c r="A5" i="82" s="1"/>
  <c r="E3" i="82"/>
  <c r="G3" i="82" s="1"/>
  <c r="H3" i="82" s="1"/>
  <c r="H7" i="82" l="1"/>
  <c r="H19" i="90"/>
  <c r="H21" i="90"/>
  <c r="H20" i="90"/>
  <c r="H18" i="90"/>
  <c r="F14" i="59"/>
  <c r="F12" i="59"/>
  <c r="G12" i="59" s="1"/>
  <c r="H12" i="59" s="1"/>
  <c r="F6" i="59"/>
  <c r="G6" i="59" s="1"/>
  <c r="H6" i="59" s="1"/>
  <c r="F4" i="59"/>
  <c r="G4" i="59" s="1"/>
  <c r="H4" i="59" s="1"/>
  <c r="G16" i="59"/>
  <c r="H16" i="59" s="1"/>
  <c r="G14" i="59"/>
  <c r="H14" i="59" s="1"/>
  <c r="G8" i="59"/>
  <c r="H8" i="59" s="1"/>
  <c r="D74" i="11"/>
  <c r="D75" i="11" s="1"/>
  <c r="F74" i="11"/>
  <c r="F75" i="11" s="1"/>
  <c r="H19" i="59" l="1"/>
  <c r="H21" i="59"/>
  <c r="F86" i="11"/>
  <c r="F87" i="67"/>
  <c r="E87" i="89"/>
  <c r="E87" i="88"/>
  <c r="G86" i="11"/>
  <c r="E86" i="83"/>
  <c r="G87" i="67"/>
  <c r="E86" i="86"/>
  <c r="E86" i="85"/>
  <c r="E87" i="84"/>
  <c r="H20" i="59"/>
  <c r="H18" i="59"/>
  <c r="E87" i="67"/>
  <c r="E86" i="11"/>
  <c r="D87" i="84"/>
  <c r="D86" i="85"/>
  <c r="D86" i="86"/>
  <c r="D86" i="83"/>
  <c r="D87" i="67"/>
  <c r="D87" i="88"/>
  <c r="D86" i="11"/>
  <c r="D87" i="89"/>
  <c r="E85" i="86"/>
  <c r="G86" i="67"/>
  <c r="E86" i="89"/>
  <c r="F86" i="67"/>
  <c r="D86" i="89"/>
  <c r="E86" i="88"/>
  <c r="E86" i="67"/>
  <c r="D85" i="11"/>
  <c r="E85" i="11"/>
  <c r="D86" i="88"/>
  <c r="G85" i="11"/>
  <c r="E85" i="85"/>
  <c r="F85" i="11"/>
  <c r="D86" i="67"/>
  <c r="D86" i="84"/>
  <c r="E86" i="84"/>
  <c r="D85" i="83"/>
  <c r="D85" i="85"/>
  <c r="D85" i="86"/>
  <c r="E85" i="83"/>
  <c r="D106" i="88"/>
  <c r="D105" i="83"/>
  <c r="C96" i="89"/>
  <c r="C76" i="89"/>
  <c r="C96" i="88"/>
  <c r="C76" i="88"/>
  <c r="C28" i="88"/>
  <c r="E88" i="89" l="1"/>
  <c r="E88" i="88"/>
  <c r="F87" i="11"/>
  <c r="F89" i="11" s="1"/>
  <c r="F88" i="67"/>
  <c r="E90" i="89"/>
  <c r="C30" i="88"/>
  <c r="D28" i="88"/>
  <c r="D30" i="88" s="1"/>
  <c r="E28" i="88"/>
  <c r="E30" i="88" s="1"/>
  <c r="E89" i="11"/>
  <c r="E69" i="89"/>
  <c r="E70" i="89"/>
  <c r="E71" i="89"/>
  <c r="E68" i="89"/>
  <c r="E67" i="89"/>
  <c r="E66" i="89"/>
  <c r="E65" i="89"/>
  <c r="E72" i="89" s="1"/>
  <c r="E80" i="89" s="1"/>
  <c r="E89" i="85"/>
  <c r="D71" i="89"/>
  <c r="D66" i="89"/>
  <c r="D69" i="89"/>
  <c r="D70" i="89"/>
  <c r="D67" i="89"/>
  <c r="D68" i="89"/>
  <c r="D65" i="89"/>
  <c r="E88" i="67"/>
  <c r="E90" i="67" s="1"/>
  <c r="E87" i="11"/>
  <c r="D87" i="85"/>
  <c r="D88" i="84"/>
  <c r="D90" i="84" s="1"/>
  <c r="D87" i="83"/>
  <c r="D89" i="83" s="1"/>
  <c r="D87" i="86"/>
  <c r="D89" i="86" s="1"/>
  <c r="F90" i="67"/>
  <c r="D89" i="85"/>
  <c r="D88" i="89"/>
  <c r="D90" i="89" s="1"/>
  <c r="D88" i="88"/>
  <c r="D90" i="88" s="1"/>
  <c r="D88" i="67"/>
  <c r="D90" i="67" s="1"/>
  <c r="D87" i="11"/>
  <c r="D89" i="11" s="1"/>
  <c r="E89" i="86"/>
  <c r="E90" i="88"/>
  <c r="E87" i="86"/>
  <c r="E87" i="83"/>
  <c r="E89" i="83" s="1"/>
  <c r="G88" i="67"/>
  <c r="G90" i="67" s="1"/>
  <c r="E88" i="84"/>
  <c r="E90" i="84" s="1"/>
  <c r="E87" i="85"/>
  <c r="G87" i="11"/>
  <c r="G89" i="11" s="1"/>
  <c r="D107" i="85"/>
  <c r="D107" i="83"/>
  <c r="D106" i="89"/>
  <c r="D108" i="88"/>
  <c r="D105" i="11"/>
  <c r="D106" i="84"/>
  <c r="D105" i="86"/>
  <c r="D106" i="67"/>
  <c r="F106" i="67"/>
  <c r="D51" i="88" l="1"/>
  <c r="D35" i="88"/>
  <c r="D34" i="88"/>
  <c r="D36" i="88"/>
  <c r="D39" i="88"/>
  <c r="D38" i="88"/>
  <c r="D33" i="88"/>
  <c r="D37" i="88"/>
  <c r="D40" i="88"/>
  <c r="E109" i="86"/>
  <c r="D72" i="89"/>
  <c r="D80" i="89" s="1"/>
  <c r="E51" i="88"/>
  <c r="E38" i="88"/>
  <c r="E33" i="88"/>
  <c r="E40" i="88"/>
  <c r="E34" i="88"/>
  <c r="E36" i="88"/>
  <c r="E39" i="88"/>
  <c r="E37" i="88"/>
  <c r="E35" i="88"/>
  <c r="D108" i="89"/>
  <c r="D108" i="84"/>
  <c r="D107" i="86"/>
  <c r="F107" i="11"/>
  <c r="D107" i="11"/>
  <c r="F108" i="67"/>
  <c r="D108" i="67"/>
  <c r="E106" i="89"/>
  <c r="E106" i="88"/>
  <c r="D41" i="88" l="1"/>
  <c r="D52" i="88" s="1"/>
  <c r="D54" i="88" s="1"/>
  <c r="E41" i="88"/>
  <c r="E52" i="88" s="1"/>
  <c r="E54" i="88" s="1"/>
  <c r="E108" i="89"/>
  <c r="E108" i="88"/>
  <c r="E68" i="88" l="1"/>
  <c r="E65" i="88"/>
  <c r="E66" i="88"/>
  <c r="E67" i="88"/>
  <c r="E69" i="88"/>
  <c r="E71" i="88"/>
  <c r="E70" i="88"/>
  <c r="D68" i="88"/>
  <c r="D67" i="88"/>
  <c r="D66" i="88"/>
  <c r="D71" i="88"/>
  <c r="D65" i="88"/>
  <c r="D72" i="88" s="1"/>
  <c r="D80" i="88" s="1"/>
  <c r="D69" i="88"/>
  <c r="D70" i="88"/>
  <c r="D75" i="89"/>
  <c r="D76" i="89" s="1"/>
  <c r="D81" i="89"/>
  <c r="D82" i="89" s="1"/>
  <c r="D83" i="89" s="1"/>
  <c r="D91" i="89" s="1"/>
  <c r="D94" i="89" s="1"/>
  <c r="D95" i="89" s="1"/>
  <c r="D96" i="89" s="1"/>
  <c r="D97" i="89" s="1"/>
  <c r="D107" i="89"/>
  <c r="D107" i="88"/>
  <c r="D75" i="88"/>
  <c r="D76" i="88" s="1"/>
  <c r="D81" i="88"/>
  <c r="D82" i="88" s="1"/>
  <c r="D83" i="88" s="1"/>
  <c r="D91" i="88" s="1"/>
  <c r="E72" i="88" l="1"/>
  <c r="E80" i="88" s="1"/>
  <c r="D100" i="89"/>
  <c r="D101" i="89"/>
  <c r="D102" i="89"/>
  <c r="D94" i="88"/>
  <c r="D95" i="88"/>
  <c r="D96" i="88" s="1"/>
  <c r="D97" i="88" s="1"/>
  <c r="E107" i="89"/>
  <c r="E81" i="89"/>
  <c r="E82" i="89" s="1"/>
  <c r="E75" i="89"/>
  <c r="E76" i="89" s="1"/>
  <c r="E107" i="88"/>
  <c r="E81" i="88"/>
  <c r="E82" i="88" s="1"/>
  <c r="E75" i="88"/>
  <c r="E76" i="88" s="1"/>
  <c r="E83" i="88" l="1"/>
  <c r="E91" i="88" s="1"/>
  <c r="E94" i="88" s="1"/>
  <c r="E95" i="88" s="1"/>
  <c r="E96" i="88" s="1"/>
  <c r="E97" i="88" s="1"/>
  <c r="E83" i="89"/>
  <c r="E91" i="89" s="1"/>
  <c r="E94" i="89" s="1"/>
  <c r="E95" i="89" s="1"/>
  <c r="E96" i="89" s="1"/>
  <c r="E97" i="89" s="1"/>
  <c r="D103" i="89"/>
  <c r="D104" i="89" s="1"/>
  <c r="E101" i="88"/>
  <c r="E102" i="88"/>
  <c r="E100" i="88"/>
  <c r="D100" i="88"/>
  <c r="D102" i="88"/>
  <c r="D101" i="88"/>
  <c r="G74" i="11"/>
  <c r="G75" i="11" s="1"/>
  <c r="E102" i="89" l="1"/>
  <c r="E101" i="89"/>
  <c r="E100" i="89"/>
  <c r="E103" i="88"/>
  <c r="E104" i="88" s="1"/>
  <c r="D103" i="88"/>
  <c r="D104" i="88" s="1"/>
  <c r="C95" i="86"/>
  <c r="C28" i="86"/>
  <c r="C95" i="85"/>
  <c r="C28" i="85"/>
  <c r="C96" i="84"/>
  <c r="C76" i="84"/>
  <c r="C28" i="84"/>
  <c r="C95" i="83"/>
  <c r="C28" i="83"/>
  <c r="C30" i="84" l="1"/>
  <c r="E28" i="84"/>
  <c r="E30" i="84" s="1"/>
  <c r="D28" i="84"/>
  <c r="D30" i="84" s="1"/>
  <c r="C30" i="86"/>
  <c r="D28" i="86"/>
  <c r="D30" i="86" s="1"/>
  <c r="E28" i="86"/>
  <c r="E30" i="86" s="1"/>
  <c r="E28" i="83"/>
  <c r="E30" i="83" s="1"/>
  <c r="C30" i="83"/>
  <c r="D28" i="83"/>
  <c r="D30" i="83" s="1"/>
  <c r="E28" i="85"/>
  <c r="E30" i="85" s="1"/>
  <c r="D28" i="85"/>
  <c r="D30" i="85" s="1"/>
  <c r="C30" i="85"/>
  <c r="E103" i="89"/>
  <c r="E104" i="89" s="1"/>
  <c r="G105" i="11"/>
  <c r="G106" i="67"/>
  <c r="E50" i="83" l="1"/>
  <c r="E38" i="83"/>
  <c r="E34" i="83"/>
  <c r="E36" i="83"/>
  <c r="E37" i="83"/>
  <c r="E39" i="83"/>
  <c r="E33" i="83"/>
  <c r="E40" i="83"/>
  <c r="E35" i="83"/>
  <c r="E37" i="85"/>
  <c r="E50" i="85"/>
  <c r="E36" i="85"/>
  <c r="E35" i="85"/>
  <c r="E34" i="85"/>
  <c r="E40" i="85"/>
  <c r="E39" i="85"/>
  <c r="E33" i="85"/>
  <c r="E38" i="85"/>
  <c r="E50" i="86"/>
  <c r="E37" i="86"/>
  <c r="E40" i="86"/>
  <c r="E39" i="86"/>
  <c r="E34" i="86"/>
  <c r="E33" i="86"/>
  <c r="E41" i="86" s="1"/>
  <c r="E51" i="86" s="1"/>
  <c r="E36" i="86"/>
  <c r="E35" i="86"/>
  <c r="E38" i="86"/>
  <c r="E39" i="84"/>
  <c r="E36" i="84"/>
  <c r="E35" i="84"/>
  <c r="E37" i="84"/>
  <c r="E34" i="84"/>
  <c r="E51" i="84"/>
  <c r="E33" i="84"/>
  <c r="E38" i="84"/>
  <c r="E40" i="84"/>
  <c r="D50" i="85"/>
  <c r="D39" i="85"/>
  <c r="D38" i="85"/>
  <c r="D40" i="85"/>
  <c r="D35" i="85"/>
  <c r="D37" i="85"/>
  <c r="D36" i="85"/>
  <c r="D34" i="85"/>
  <c r="D33" i="85"/>
  <c r="D51" i="84"/>
  <c r="D39" i="84"/>
  <c r="D33" i="84"/>
  <c r="D38" i="84"/>
  <c r="D37" i="84"/>
  <c r="D40" i="84"/>
  <c r="D35" i="84"/>
  <c r="D34" i="84"/>
  <c r="D36" i="84"/>
  <c r="D50" i="83"/>
  <c r="D33" i="83"/>
  <c r="D41" i="83" s="1"/>
  <c r="D51" i="83" s="1"/>
  <c r="D38" i="83"/>
  <c r="D40" i="83"/>
  <c r="D39" i="83"/>
  <c r="D37" i="83"/>
  <c r="D36" i="83"/>
  <c r="D35" i="83"/>
  <c r="D34" i="83"/>
  <c r="D50" i="86"/>
  <c r="D37" i="86"/>
  <c r="D36" i="86"/>
  <c r="D39" i="86"/>
  <c r="D40" i="86"/>
  <c r="D38" i="86"/>
  <c r="D33" i="86"/>
  <c r="D35" i="86"/>
  <c r="D34" i="86"/>
  <c r="G108" i="67"/>
  <c r="G107" i="11"/>
  <c r="E107" i="85"/>
  <c r="E105" i="83"/>
  <c r="E53" i="86" l="1"/>
  <c r="E53" i="85"/>
  <c r="E41" i="83"/>
  <c r="E51" i="83" s="1"/>
  <c r="E53" i="83" s="1"/>
  <c r="D41" i="86"/>
  <c r="D51" i="86" s="1"/>
  <c r="D53" i="86" s="1"/>
  <c r="E41" i="84"/>
  <c r="E52" i="84" s="1"/>
  <c r="D41" i="84"/>
  <c r="D52" i="84" s="1"/>
  <c r="D54" i="84" s="1"/>
  <c r="D53" i="83"/>
  <c r="D41" i="85"/>
  <c r="D51" i="85" s="1"/>
  <c r="D53" i="85"/>
  <c r="E54" i="84"/>
  <c r="E41" i="85"/>
  <c r="E51" i="85" s="1"/>
  <c r="E108" i="84"/>
  <c r="D106" i="83"/>
  <c r="D80" i="83"/>
  <c r="E107" i="83"/>
  <c r="D65" i="86" l="1"/>
  <c r="D69" i="86"/>
  <c r="D64" i="86"/>
  <c r="D68" i="86"/>
  <c r="D70" i="86"/>
  <c r="D67" i="86"/>
  <c r="D66" i="86"/>
  <c r="E68" i="83"/>
  <c r="E69" i="83"/>
  <c r="E64" i="83"/>
  <c r="E70" i="83"/>
  <c r="E66" i="83"/>
  <c r="E67" i="83"/>
  <c r="E65" i="83"/>
  <c r="D69" i="84"/>
  <c r="D65" i="84"/>
  <c r="D72" i="84" s="1"/>
  <c r="D80" i="84" s="1"/>
  <c r="D82" i="84" s="1"/>
  <c r="D68" i="84"/>
  <c r="D71" i="84"/>
  <c r="D66" i="84"/>
  <c r="D70" i="84"/>
  <c r="D67" i="84"/>
  <c r="D67" i="85"/>
  <c r="D68" i="85"/>
  <c r="D69" i="85"/>
  <c r="D70" i="85"/>
  <c r="D64" i="85"/>
  <c r="D66" i="85"/>
  <c r="D65" i="85"/>
  <c r="E69" i="85"/>
  <c r="E65" i="85"/>
  <c r="E68" i="85"/>
  <c r="E67" i="85"/>
  <c r="E70" i="85"/>
  <c r="E64" i="85"/>
  <c r="E66" i="85"/>
  <c r="E106" i="86"/>
  <c r="E65" i="86"/>
  <c r="E70" i="86"/>
  <c r="E69" i="86"/>
  <c r="E67" i="86"/>
  <c r="E68" i="86"/>
  <c r="E64" i="86"/>
  <c r="E66" i="86"/>
  <c r="E70" i="84"/>
  <c r="E66" i="84"/>
  <c r="E67" i="84"/>
  <c r="E107" i="84"/>
  <c r="E69" i="84"/>
  <c r="E68" i="84"/>
  <c r="E65" i="84"/>
  <c r="E71" i="84"/>
  <c r="D70" i="83"/>
  <c r="D66" i="83"/>
  <c r="D69" i="83"/>
  <c r="D65" i="83"/>
  <c r="D68" i="83"/>
  <c r="D64" i="83"/>
  <c r="D67" i="83"/>
  <c r="D81" i="84"/>
  <c r="D106" i="86"/>
  <c r="D80" i="86"/>
  <c r="D106" i="85"/>
  <c r="D80" i="85"/>
  <c r="E72" i="84" l="1"/>
  <c r="E80" i="84" s="1"/>
  <c r="E71" i="86"/>
  <c r="E79" i="86" s="1"/>
  <c r="E71" i="85"/>
  <c r="E79" i="85" s="1"/>
  <c r="D71" i="85"/>
  <c r="D79" i="85" s="1"/>
  <c r="D81" i="85" s="1"/>
  <c r="D82" i="85" s="1"/>
  <c r="D90" i="85" s="1"/>
  <c r="D93" i="85" s="1"/>
  <c r="D94" i="85" s="1"/>
  <c r="D95" i="85" s="1"/>
  <c r="D96" i="85" s="1"/>
  <c r="E71" i="83"/>
  <c r="E79" i="83" s="1"/>
  <c r="D71" i="86"/>
  <c r="D79" i="86" s="1"/>
  <c r="D81" i="86" s="1"/>
  <c r="D82" i="86" s="1"/>
  <c r="D90" i="86" s="1"/>
  <c r="D71" i="83"/>
  <c r="D79" i="83" s="1"/>
  <c r="D81" i="83" s="1"/>
  <c r="D82" i="83" s="1"/>
  <c r="D90" i="83" s="1"/>
  <c r="D107" i="84"/>
  <c r="D75" i="84"/>
  <c r="D76" i="84" s="1"/>
  <c r="D83" i="84" s="1"/>
  <c r="D91" i="84" s="1"/>
  <c r="E81" i="84"/>
  <c r="E82" i="84" s="1"/>
  <c r="E75" i="84"/>
  <c r="E76" i="84" s="1"/>
  <c r="D94" i="84" l="1"/>
  <c r="D95" i="84"/>
  <c r="D96" i="84" s="1"/>
  <c r="D97" i="84" s="1"/>
  <c r="D93" i="86"/>
  <c r="D94" i="86" s="1"/>
  <c r="D95" i="86"/>
  <c r="D96" i="86" s="1"/>
  <c r="D100" i="85"/>
  <c r="D101" i="85"/>
  <c r="D99" i="85"/>
  <c r="D102" i="85" s="1"/>
  <c r="D103" i="85" s="1"/>
  <c r="D93" i="83"/>
  <c r="D94" i="83"/>
  <c r="D95" i="83" s="1"/>
  <c r="D96" i="83" s="1"/>
  <c r="E81" i="85"/>
  <c r="E82" i="85" s="1"/>
  <c r="E90" i="85" s="1"/>
  <c r="E93" i="85" s="1"/>
  <c r="E94" i="85" s="1"/>
  <c r="E95" i="85" s="1"/>
  <c r="E96" i="85" s="1"/>
  <c r="E83" i="84"/>
  <c r="E91" i="84" s="1"/>
  <c r="E80" i="85"/>
  <c r="E80" i="86"/>
  <c r="E81" i="86" s="1"/>
  <c r="E82" i="86" s="1"/>
  <c r="E106" i="85"/>
  <c r="E106" i="83"/>
  <c r="E80" i="83"/>
  <c r="E81" i="83" s="1"/>
  <c r="E82" i="83" s="1"/>
  <c r="E90" i="83" s="1"/>
  <c r="E74" i="11"/>
  <c r="E75" i="11" s="1"/>
  <c r="E93" i="83" l="1"/>
  <c r="E94" i="83" s="1"/>
  <c r="E95" i="83" s="1"/>
  <c r="E96" i="83" s="1"/>
  <c r="E108" i="86"/>
  <c r="E110" i="86" s="1"/>
  <c r="E90" i="86"/>
  <c r="E93" i="86" s="1"/>
  <c r="E94" i="86" s="1"/>
  <c r="E95" i="86" s="1"/>
  <c r="E96" i="86" s="1"/>
  <c r="E99" i="85"/>
  <c r="E101" i="85"/>
  <c r="E100" i="85"/>
  <c r="D101" i="86"/>
  <c r="D100" i="86"/>
  <c r="D99" i="86"/>
  <c r="D100" i="84"/>
  <c r="D102" i="84"/>
  <c r="D101" i="84"/>
  <c r="D100" i="83"/>
  <c r="D101" i="83"/>
  <c r="D99" i="83"/>
  <c r="D102" i="83" s="1"/>
  <c r="D103" i="83" s="1"/>
  <c r="E94" i="84"/>
  <c r="E95" i="84" s="1"/>
  <c r="E105" i="11"/>
  <c r="E96" i="84" l="1"/>
  <c r="E97" i="84" s="1"/>
  <c r="E100" i="83"/>
  <c r="E101" i="83"/>
  <c r="E99" i="83"/>
  <c r="E102" i="83" s="1"/>
  <c r="E103" i="83" s="1"/>
  <c r="E101" i="86"/>
  <c r="E99" i="86"/>
  <c r="E100" i="86"/>
  <c r="D102" i="86"/>
  <c r="D103" i="86" s="1"/>
  <c r="D103" i="84"/>
  <c r="D104" i="84" s="1"/>
  <c r="E102" i="85"/>
  <c r="E103" i="85" s="1"/>
  <c r="E102" i="84"/>
  <c r="E101" i="84"/>
  <c r="E100" i="84"/>
  <c r="E107" i="11"/>
  <c r="C76" i="67"/>
  <c r="E102" i="86" l="1"/>
  <c r="E103" i="84"/>
  <c r="E104" i="84" s="1"/>
  <c r="E109" i="11"/>
  <c r="D110" i="67"/>
  <c r="E109" i="85"/>
  <c r="D109" i="11"/>
  <c r="G110" i="67"/>
  <c r="E109" i="83"/>
  <c r="F110" i="67"/>
  <c r="F109" i="11"/>
  <c r="G109" i="11"/>
  <c r="E110" i="84"/>
  <c r="D109" i="89" l="1"/>
  <c r="D109" i="83"/>
  <c r="E109" i="88"/>
  <c r="D110" i="84"/>
  <c r="E109" i="89"/>
  <c r="D110" i="88"/>
  <c r="D110" i="89"/>
  <c r="E110" i="88"/>
  <c r="E110" i="89"/>
  <c r="D109" i="88"/>
  <c r="D111" i="88" s="1"/>
  <c r="D109" i="86"/>
  <c r="D109" i="85"/>
  <c r="C96" i="67"/>
  <c r="C28" i="67"/>
  <c r="C30" i="67" l="1"/>
  <c r="E28" i="67"/>
  <c r="E30" i="67" s="1"/>
  <c r="G28" i="67"/>
  <c r="G30" i="67" s="1"/>
  <c r="D28" i="67"/>
  <c r="D30" i="67" s="1"/>
  <c r="F28" i="67"/>
  <c r="F30" i="67" s="1"/>
  <c r="E111" i="89"/>
  <c r="E111" i="88"/>
  <c r="D111" i="89"/>
  <c r="D108" i="85"/>
  <c r="D110" i="85" s="1"/>
  <c r="E108" i="83"/>
  <c r="E110" i="83" s="1"/>
  <c r="D108" i="86"/>
  <c r="D110" i="86" s="1"/>
  <c r="D108" i="83"/>
  <c r="D110" i="83" s="1"/>
  <c r="E109" i="84"/>
  <c r="E111" i="84" s="1"/>
  <c r="D109" i="84"/>
  <c r="D111" i="84" s="1"/>
  <c r="E51" i="67" l="1"/>
  <c r="E33" i="67"/>
  <c r="E36" i="67"/>
  <c r="E39" i="67"/>
  <c r="E35" i="67"/>
  <c r="E37" i="67"/>
  <c r="E38" i="67"/>
  <c r="E34" i="67"/>
  <c r="E40" i="67"/>
  <c r="D51" i="67"/>
  <c r="D39" i="67"/>
  <c r="D36" i="67"/>
  <c r="D35" i="67"/>
  <c r="D38" i="67"/>
  <c r="D37" i="67"/>
  <c r="D34" i="67"/>
  <c r="D40" i="67"/>
  <c r="D33" i="67"/>
  <c r="G51" i="67"/>
  <c r="G40" i="67"/>
  <c r="G33" i="67"/>
  <c r="G38" i="67"/>
  <c r="G36" i="67"/>
  <c r="G35" i="67"/>
  <c r="G39" i="67"/>
  <c r="G34" i="67"/>
  <c r="G37" i="67"/>
  <c r="F51" i="67"/>
  <c r="F40" i="67"/>
  <c r="F39" i="67"/>
  <c r="F37" i="67"/>
  <c r="F36" i="67"/>
  <c r="F35" i="67"/>
  <c r="F38" i="67"/>
  <c r="F33" i="67"/>
  <c r="F34" i="67"/>
  <c r="E103" i="86"/>
  <c r="E111" i="86" s="1"/>
  <c r="E112" i="86" s="1"/>
  <c r="E106" i="67"/>
  <c r="E110" i="67"/>
  <c r="D41" i="67" l="1"/>
  <c r="D52" i="67" s="1"/>
  <c r="D54" i="67"/>
  <c r="E41" i="67"/>
  <c r="E52" i="67" s="1"/>
  <c r="F41" i="67"/>
  <c r="F52" i="67" s="1"/>
  <c r="F54" i="67" s="1"/>
  <c r="G41" i="67"/>
  <c r="G52" i="67" s="1"/>
  <c r="G54" i="67" s="1"/>
  <c r="E54" i="67"/>
  <c r="D111" i="86"/>
  <c r="D112" i="88"/>
  <c r="D113" i="88" s="1"/>
  <c r="E108" i="67"/>
  <c r="F70" i="67" l="1"/>
  <c r="F65" i="67"/>
  <c r="F66" i="67"/>
  <c r="F68" i="67"/>
  <c r="F71" i="67"/>
  <c r="F67" i="67"/>
  <c r="F69" i="67"/>
  <c r="G67" i="67"/>
  <c r="G68" i="67"/>
  <c r="G70" i="67"/>
  <c r="G65" i="67"/>
  <c r="G69" i="67"/>
  <c r="G71" i="67"/>
  <c r="G66" i="67"/>
  <c r="E69" i="67"/>
  <c r="E70" i="67"/>
  <c r="E67" i="67"/>
  <c r="E65" i="67"/>
  <c r="E68" i="67"/>
  <c r="E66" i="67"/>
  <c r="E71" i="67"/>
  <c r="D71" i="67"/>
  <c r="D66" i="67"/>
  <c r="D67" i="67"/>
  <c r="D68" i="67"/>
  <c r="D69" i="67"/>
  <c r="D70" i="67"/>
  <c r="D65" i="67"/>
  <c r="D72" i="67" s="1"/>
  <c r="D81" i="67"/>
  <c r="D112" i="86"/>
  <c r="C23" i="87" s="1"/>
  <c r="F23" i="87" s="1"/>
  <c r="G23" i="87" s="1"/>
  <c r="H23" i="87" s="1"/>
  <c r="D112" i="89"/>
  <c r="D113" i="89" s="1"/>
  <c r="E111" i="83"/>
  <c r="E112" i="83" s="1"/>
  <c r="D111" i="85"/>
  <c r="D112" i="85" s="1"/>
  <c r="D75" i="67"/>
  <c r="D76" i="67" s="1"/>
  <c r="D107" i="67"/>
  <c r="E112" i="84"/>
  <c r="E113" i="84" s="1"/>
  <c r="C30" i="87"/>
  <c r="G107" i="67"/>
  <c r="G75" i="67"/>
  <c r="G76" i="67" s="1"/>
  <c r="G81" i="67"/>
  <c r="D112" i="84"/>
  <c r="F107" i="67"/>
  <c r="F81" i="67"/>
  <c r="F75" i="67"/>
  <c r="F76" i="67" s="1"/>
  <c r="E72" i="67" l="1"/>
  <c r="G72" i="67"/>
  <c r="F72" i="67"/>
  <c r="D113" i="84"/>
  <c r="C21" i="87" s="1"/>
  <c r="F21" i="87" s="1"/>
  <c r="G21" i="87" s="1"/>
  <c r="H21" i="87" s="1"/>
  <c r="C16" i="87"/>
  <c r="F16" i="87" s="1"/>
  <c r="G16" i="87" s="1"/>
  <c r="H16" i="87" s="1"/>
  <c r="C15" i="87"/>
  <c r="F15" i="87" s="1"/>
  <c r="G15" i="87" s="1"/>
  <c r="H15" i="87" s="1"/>
  <c r="F80" i="67"/>
  <c r="G80" i="67"/>
  <c r="G82" i="67" s="1"/>
  <c r="G83" i="67" s="1"/>
  <c r="G91" i="67" s="1"/>
  <c r="D80" i="67"/>
  <c r="D82" i="67" s="1"/>
  <c r="D83" i="67" s="1"/>
  <c r="D91" i="67" s="1"/>
  <c r="E112" i="88"/>
  <c r="E113" i="88" s="1"/>
  <c r="E112" i="89"/>
  <c r="E113" i="89" s="1"/>
  <c r="D111" i="83"/>
  <c r="C22" i="87"/>
  <c r="F30" i="87"/>
  <c r="G30" i="87" s="1"/>
  <c r="H30" i="87" s="1"/>
  <c r="D112" i="83" l="1"/>
  <c r="C20" i="87" s="1"/>
  <c r="F20" i="87" s="1"/>
  <c r="G20" i="87" s="1"/>
  <c r="H20" i="87" s="1"/>
  <c r="G94" i="67"/>
  <c r="G95" i="67" s="1"/>
  <c r="G96" i="67" s="1"/>
  <c r="G97" i="67" s="1"/>
  <c r="C28" i="87"/>
  <c r="F28" i="87" s="1"/>
  <c r="G28" i="87" s="1"/>
  <c r="H28" i="87" s="1"/>
  <c r="C27" i="87"/>
  <c r="F27" i="87" s="1"/>
  <c r="G27" i="87" s="1"/>
  <c r="H27" i="87" s="1"/>
  <c r="F82" i="67"/>
  <c r="F83" i="67" s="1"/>
  <c r="F91" i="67" s="1"/>
  <c r="G109" i="67"/>
  <c r="G111" i="67" s="1"/>
  <c r="D94" i="67"/>
  <c r="D109" i="67"/>
  <c r="D111" i="67" s="1"/>
  <c r="C35" i="87"/>
  <c r="C34" i="87"/>
  <c r="E107" i="67"/>
  <c r="E75" i="67"/>
  <c r="E76" i="67" s="1"/>
  <c r="E81" i="67"/>
  <c r="G102" i="67" l="1"/>
  <c r="G101" i="67"/>
  <c r="G100" i="67"/>
  <c r="F94" i="67"/>
  <c r="F95" i="67" s="1"/>
  <c r="F96" i="67" s="1"/>
  <c r="F97" i="67" s="1"/>
  <c r="F109" i="67"/>
  <c r="F111" i="67" s="1"/>
  <c r="D95" i="67"/>
  <c r="D96" i="67" s="1"/>
  <c r="D97" i="67" s="1"/>
  <c r="E80" i="67"/>
  <c r="F35" i="87"/>
  <c r="G35" i="87" s="1"/>
  <c r="H35" i="87" s="1"/>
  <c r="G103" i="67" l="1"/>
  <c r="G104" i="67" s="1"/>
  <c r="F102" i="67"/>
  <c r="F101" i="67"/>
  <c r="F100" i="67"/>
  <c r="F103" i="67" s="1"/>
  <c r="F104" i="67" s="1"/>
  <c r="D102" i="67"/>
  <c r="D101" i="67"/>
  <c r="D100" i="67"/>
  <c r="E82" i="67"/>
  <c r="E83" i="67" s="1"/>
  <c r="E91" i="67" s="1"/>
  <c r="D103" i="67" l="1"/>
  <c r="D104" i="67" s="1"/>
  <c r="E94" i="67"/>
  <c r="E109" i="67"/>
  <c r="E111" i="67" s="1"/>
  <c r="D112" i="67"/>
  <c r="D113" i="67" s="1"/>
  <c r="G112" i="67"/>
  <c r="G113" i="67" s="1"/>
  <c r="F112" i="67"/>
  <c r="F113" i="67" s="1"/>
  <c r="E95" i="67" l="1"/>
  <c r="C26" i="87"/>
  <c r="F26" i="87" s="1"/>
  <c r="G26" i="87" s="1"/>
  <c r="H26" i="87" s="1"/>
  <c r="C14" i="87"/>
  <c r="F14" i="87" s="1"/>
  <c r="G14" i="87" s="1"/>
  <c r="H14" i="87" s="1"/>
  <c r="C95" i="11"/>
  <c r="C28" i="11"/>
  <c r="C30" i="11" l="1"/>
  <c r="E28" i="11"/>
  <c r="E30" i="11" s="1"/>
  <c r="D28" i="11"/>
  <c r="D30" i="11" s="1"/>
  <c r="F28" i="11"/>
  <c r="F30" i="11" s="1"/>
  <c r="G28" i="11"/>
  <c r="G30" i="11" s="1"/>
  <c r="E96" i="67"/>
  <c r="E97" i="67" s="1"/>
  <c r="C33" i="87"/>
  <c r="F50" i="11" l="1"/>
  <c r="F39" i="11"/>
  <c r="F38" i="11"/>
  <c r="F37" i="11"/>
  <c r="F34" i="11"/>
  <c r="F33" i="11"/>
  <c r="F40" i="11"/>
  <c r="F35" i="11"/>
  <c r="F36" i="11"/>
  <c r="E50" i="11"/>
  <c r="E35" i="11"/>
  <c r="E33" i="11"/>
  <c r="E41" i="11" s="1"/>
  <c r="E51" i="11" s="1"/>
  <c r="E36" i="11"/>
  <c r="E34" i="11"/>
  <c r="E38" i="11"/>
  <c r="E37" i="11"/>
  <c r="E40" i="11"/>
  <c r="E39" i="11"/>
  <c r="D50" i="11"/>
  <c r="D33" i="11"/>
  <c r="D37" i="11"/>
  <c r="D40" i="11"/>
  <c r="D39" i="11"/>
  <c r="D34" i="11"/>
  <c r="D36" i="11"/>
  <c r="D35" i="11"/>
  <c r="D38" i="11"/>
  <c r="G50" i="11"/>
  <c r="G37" i="11"/>
  <c r="G39" i="11"/>
  <c r="G33" i="11"/>
  <c r="G40" i="11"/>
  <c r="G35" i="11"/>
  <c r="G36" i="11"/>
  <c r="G34" i="11"/>
  <c r="G38" i="11"/>
  <c r="E102" i="67"/>
  <c r="E101" i="67"/>
  <c r="E100" i="67"/>
  <c r="D13" i="2"/>
  <c r="D12" i="2"/>
  <c r="D11" i="2"/>
  <c r="D10" i="2"/>
  <c r="D9" i="2"/>
  <c r="D8" i="2"/>
  <c r="E53" i="11" l="1"/>
  <c r="F41" i="11"/>
  <c r="F51" i="11" s="1"/>
  <c r="F53" i="11" s="1"/>
  <c r="D41" i="11"/>
  <c r="D51" i="11" s="1"/>
  <c r="D53" i="11" s="1"/>
  <c r="G41" i="11"/>
  <c r="G51" i="11" s="1"/>
  <c r="G53" i="11" s="1"/>
  <c r="E103" i="67"/>
  <c r="E104" i="67" s="1"/>
  <c r="E112" i="67" s="1"/>
  <c r="E113" i="67" s="1"/>
  <c r="G67" i="11" l="1"/>
  <c r="G65" i="11"/>
  <c r="G64" i="11"/>
  <c r="G70" i="11"/>
  <c r="G69" i="11"/>
  <c r="G68" i="11"/>
  <c r="G66" i="11"/>
  <c r="D64" i="11"/>
  <c r="D71" i="11" s="1"/>
  <c r="D79" i="11" s="1"/>
  <c r="D67" i="11"/>
  <c r="D65" i="11"/>
  <c r="D68" i="11"/>
  <c r="D70" i="11"/>
  <c r="D66" i="11"/>
  <c r="D69" i="11"/>
  <c r="D106" i="11"/>
  <c r="D80" i="11"/>
  <c r="F70" i="11"/>
  <c r="F66" i="11"/>
  <c r="F64" i="11"/>
  <c r="F67" i="11"/>
  <c r="F69" i="11"/>
  <c r="F65" i="11"/>
  <c r="F68" i="11"/>
  <c r="E68" i="11"/>
  <c r="E70" i="11"/>
  <c r="E65" i="11"/>
  <c r="E66" i="11"/>
  <c r="E67" i="11"/>
  <c r="E64" i="11"/>
  <c r="E69" i="11"/>
  <c r="F33" i="87"/>
  <c r="G33" i="87" s="1"/>
  <c r="H33" i="87" s="1"/>
  <c r="C19" i="87"/>
  <c r="F19" i="87" s="1"/>
  <c r="G19" i="87" s="1"/>
  <c r="H19" i="87" s="1"/>
  <c r="G106" i="11"/>
  <c r="G80" i="11"/>
  <c r="F106" i="11"/>
  <c r="F80" i="11"/>
  <c r="E80" i="11"/>
  <c r="E106" i="11"/>
  <c r="F71" i="11" l="1"/>
  <c r="G71" i="11"/>
  <c r="E71" i="11"/>
  <c r="E79" i="11" s="1"/>
  <c r="D81" i="11"/>
  <c r="D82" i="11" s="1"/>
  <c r="D90" i="11" s="1"/>
  <c r="F79" i="11"/>
  <c r="G79" i="11"/>
  <c r="D93" i="11" l="1"/>
  <c r="G81" i="11"/>
  <c r="G82" i="11" s="1"/>
  <c r="G90" i="11" s="1"/>
  <c r="F81" i="11"/>
  <c r="F82" i="11" s="1"/>
  <c r="F90" i="11" s="1"/>
  <c r="E81" i="11"/>
  <c r="E82" i="11" s="1"/>
  <c r="E90" i="11" s="1"/>
  <c r="D108" i="11"/>
  <c r="D110" i="11" s="1"/>
  <c r="F93" i="11" l="1"/>
  <c r="F94" i="11" s="1"/>
  <c r="F95" i="11" s="1"/>
  <c r="F96" i="11" s="1"/>
  <c r="E93" i="11"/>
  <c r="G93" i="11"/>
  <c r="D94" i="11"/>
  <c r="D95" i="11" s="1"/>
  <c r="D96" i="11" s="1"/>
  <c r="G108" i="11"/>
  <c r="G110" i="11" s="1"/>
  <c r="F108" i="11"/>
  <c r="F110" i="11" s="1"/>
  <c r="E108" i="11"/>
  <c r="E110" i="11" s="1"/>
  <c r="F34" i="87"/>
  <c r="G34" i="87" s="1"/>
  <c r="H34" i="87" s="1"/>
  <c r="D100" i="11" l="1"/>
  <c r="D101" i="11"/>
  <c r="D99" i="11"/>
  <c r="F101" i="11"/>
  <c r="F100" i="11"/>
  <c r="F99" i="11"/>
  <c r="G94" i="11"/>
  <c r="G95" i="11" s="1"/>
  <c r="G96" i="11" s="1"/>
  <c r="E94" i="11"/>
  <c r="E95" i="11" s="1"/>
  <c r="E96" i="11" s="1"/>
  <c r="F102" i="11" l="1"/>
  <c r="F103" i="11" s="1"/>
  <c r="F111" i="11" s="1"/>
  <c r="F112" i="11" s="1"/>
  <c r="D102" i="11"/>
  <c r="D103" i="11" s="1"/>
  <c r="D111" i="11" s="1"/>
  <c r="D112" i="11" s="1"/>
  <c r="C13" i="87" s="1"/>
  <c r="F13" i="87" s="1"/>
  <c r="G13" i="87" s="1"/>
  <c r="H13" i="87" s="1"/>
  <c r="G101" i="11"/>
  <c r="G100" i="11"/>
  <c r="G99" i="11"/>
  <c r="G102" i="11" s="1"/>
  <c r="G103" i="11" s="1"/>
  <c r="G111" i="11" s="1"/>
  <c r="G112" i="11" s="1"/>
  <c r="C25" i="87" s="1"/>
  <c r="F25" i="87" s="1"/>
  <c r="G25" i="87" s="1"/>
  <c r="H25" i="87" s="1"/>
  <c r="F3" i="87"/>
  <c r="G3" i="87" s="1"/>
  <c r="H3" i="87" s="1"/>
  <c r="E101" i="11"/>
  <c r="E100" i="11"/>
  <c r="E99" i="11"/>
  <c r="E102" i="11" s="1"/>
  <c r="E103" i="11" s="1"/>
  <c r="E111" i="11" s="1"/>
  <c r="E112" i="11" s="1"/>
  <c r="C18" i="87" l="1"/>
  <c r="F18" i="87" s="1"/>
  <c r="G18" i="87" s="1"/>
  <c r="H18" i="87" s="1"/>
  <c r="F4" i="87"/>
  <c r="C32" i="87"/>
  <c r="F32" i="87" s="1"/>
  <c r="G32" i="87" s="1"/>
  <c r="H32" i="87" s="1"/>
  <c r="F6" i="87"/>
  <c r="G6" i="87" s="1"/>
  <c r="H6" i="87" s="1"/>
  <c r="E108" i="85"/>
  <c r="E110" i="85" s="1"/>
  <c r="E111" i="85" l="1"/>
  <c r="E112" i="85" s="1"/>
  <c r="F22" i="87" l="1"/>
  <c r="G22" i="87" s="1"/>
  <c r="H22" i="87" s="1"/>
  <c r="G4" i="87"/>
  <c r="H4" i="87" s="1"/>
  <c r="C29" i="87" l="1"/>
  <c r="F29" i="87" s="1"/>
  <c r="G29" i="87" s="1"/>
  <c r="H29" i="87" s="1"/>
  <c r="H36" i="87" s="1"/>
  <c r="F5" i="87"/>
  <c r="G5" i="87" s="1"/>
  <c r="H5" i="87" s="1"/>
  <c r="H7" i="87" s="1"/>
</calcChain>
</file>

<file path=xl/sharedStrings.xml><?xml version="1.0" encoding="utf-8"?>
<sst xmlns="http://schemas.openxmlformats.org/spreadsheetml/2006/main" count="1942" uniqueCount="311">
  <si>
    <t>A</t>
  </si>
  <si>
    <t>Data de apresentação da proposta (mês/ano)</t>
  </si>
  <si>
    <t>B</t>
  </si>
  <si>
    <t>C</t>
  </si>
  <si>
    <t>Ano Acordo, Convenção ou Sentença Normativa em Dissídio Coletivo</t>
  </si>
  <si>
    <t>D</t>
  </si>
  <si>
    <t>Identificação do Serviço</t>
  </si>
  <si>
    <t>Anexo III-A – Mão-de-obra</t>
  </si>
  <si>
    <t>Mão-de-obra vinculada à execução contratual</t>
  </si>
  <si>
    <t>Dados complementares para composição dos custos referente à mão-de-obra</t>
  </si>
  <si>
    <t>Valor (R$)</t>
  </si>
  <si>
    <t>Salário Normativo da Categoria Profissional</t>
  </si>
  <si>
    <t>Categoria profissional (vinculada à execução contratual)</t>
  </si>
  <si>
    <t>Data base da categoria (dia/mês/ano)</t>
  </si>
  <si>
    <t>MÓDULO 1 : COMPOSIÇÃO DA REMUNERAÇÃO</t>
  </si>
  <si>
    <t>Composição da Remuneração</t>
  </si>
  <si>
    <t>Salário</t>
  </si>
  <si>
    <t>Adicional de Periculosidade</t>
  </si>
  <si>
    <t>Adicional de Insalubridade</t>
  </si>
  <si>
    <t>Adicional Noturno</t>
  </si>
  <si>
    <t>E</t>
  </si>
  <si>
    <t>F</t>
  </si>
  <si>
    <t>G</t>
  </si>
  <si>
    <t>TOTAL DE BENEFÍCIOS MENSAIS E DIÁRIOS</t>
  </si>
  <si>
    <t>Insumos Diversos</t>
  </si>
  <si>
    <t>Encargos previdenciários e FGTS</t>
  </si>
  <si>
    <t>H</t>
  </si>
  <si>
    <t>TOTAL</t>
  </si>
  <si>
    <t>13 º Salário</t>
  </si>
  <si>
    <t>Subtotal</t>
  </si>
  <si>
    <t>Submódulo 4.3 – Afastamento Maternidade</t>
  </si>
  <si>
    <t>Afastamento Maternidade:</t>
  </si>
  <si>
    <t>Provisão para Rescisão</t>
  </si>
  <si>
    <t>Aviso prévio indenizado</t>
  </si>
  <si>
    <r>
      <t>Incidência do FGTS sobre aviso prévio indenizado (8%)</t>
    </r>
    <r>
      <rPr>
        <i/>
        <sz val="10"/>
        <color rgb="FF002060"/>
        <rFont val="Calibri"/>
        <family val="2"/>
        <scheme val="minor"/>
      </rPr>
      <t/>
    </r>
  </si>
  <si>
    <t>Aviso prévio trabalhado</t>
  </si>
  <si>
    <t>Composição do Custo de Reposição do Profissional Ausente</t>
  </si>
  <si>
    <t>(M-T)      CUSTO TOTAL DA PLANILHA PARA EFEITO DE CÁLCULO DO MÓDULO 5 (M1+M2+M3+M4)</t>
  </si>
  <si>
    <t>Custos Indiretos, Tributos e Lucro</t>
  </si>
  <si>
    <t>Custos Indiretos</t>
  </si>
  <si>
    <t>Lucro (MT + M5.A)</t>
  </si>
  <si>
    <t>Tributos</t>
  </si>
  <si>
    <t>TOTAL DOS TRIBUTOS</t>
  </si>
  <si>
    <t>TOTAL DOS CUSTOS INDIRETOS, TRIBUTOS E LUCRO</t>
  </si>
  <si>
    <t>Mão-de-obra vinculada à execução contratual (valor por empregado)</t>
  </si>
  <si>
    <t>Módulo 1 – Composição da Remuneração</t>
  </si>
  <si>
    <t>VALOR TOTAL POR EMPREGADO</t>
  </si>
  <si>
    <t>Subtotal  para   efeito  de  cálculo  do s Tributos  (MT + MA + MB) FATURAMENTO [(100-8,65)/100]</t>
  </si>
  <si>
    <t xml:space="preserve"> MÓDULO 2: BENEFÍCIOS MENSAIS E DIÁRIOS</t>
  </si>
  <si>
    <t>]</t>
  </si>
  <si>
    <t>27/08/2012 - APLICABILIDADE DA LEI Nº 12.506, DE 11 DE OUTUBRO DE 2011</t>
  </si>
  <si>
    <t>AVISO PRÉVIO TRABALHADO</t>
  </si>
  <si>
    <t>COMUNICA</t>
  </si>
  <si>
    <t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</si>
  <si>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r>
      <t>ASSIM SENDO, COM A NOVA PREVISÃO LEGAL</t>
    </r>
    <r>
      <rPr>
        <b/>
        <sz val="8"/>
        <color rgb="FFFF0000"/>
        <rFont val="Verdana"/>
        <family val="2"/>
      </rPr>
      <t>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</t>
    </r>
    <r>
      <rPr>
        <sz val="8"/>
        <color rgb="FF000000"/>
        <rFont val="Verdana"/>
        <family val="2"/>
      </rPr>
      <t>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  </r>
  </si>
  <si>
    <t>Aviso Prévio Trabalhado - Demissão Sem Justa Causa</t>
  </si>
  <si>
    <t>BRASÍLIA-DF, 15 DE AGOSTO DE 2012</t>
  </si>
  <si>
    <t>Tempo Trabalhado</t>
  </si>
  <si>
    <t>Dias de Aviso</t>
  </si>
  <si>
    <t>Faltas ao Trabalho</t>
  </si>
  <si>
    <t>SECRETARIA DE LOGÍSTICA E TECNOLOGIA DA INFORMAÇÃO – SLTI</t>
  </si>
  <si>
    <t>no final do aviso</t>
  </si>
  <si>
    <t>DEPARTAMENTO DE LOGÍSTICA E SERVIÇOS GERAIS – DLSG</t>
  </si>
  <si>
    <t>Até 1 ano</t>
  </si>
  <si>
    <t>COORDENAÇÃO-GERAL DE NORMAS – CGN</t>
  </si>
  <si>
    <t>Até 2 anos</t>
  </si>
  <si>
    <t>Até 3 anos</t>
  </si>
  <si>
    <t>Até 4 anos</t>
  </si>
  <si>
    <t>Até 5 anos</t>
  </si>
  <si>
    <t>Até 6 anos</t>
  </si>
  <si>
    <t>Até 7 anos</t>
  </si>
  <si>
    <t>Até 8 anos</t>
  </si>
  <si>
    <t>Até 9 anos</t>
  </si>
  <si>
    <t>Até 10 anos</t>
  </si>
  <si>
    <t>Até 11 anos</t>
  </si>
  <si>
    <t>Até 12 anos</t>
  </si>
  <si>
    <t>Até 13 anos</t>
  </si>
  <si>
    <t>Até 14 anos</t>
  </si>
  <si>
    <t>Até 15 anos</t>
  </si>
  <si>
    <t>Até 16 anos</t>
  </si>
  <si>
    <t>Até 17 anos</t>
  </si>
  <si>
    <t>Até 18 anos</t>
  </si>
  <si>
    <t>Até 19 anos</t>
  </si>
  <si>
    <t>Até 20 anos</t>
  </si>
  <si>
    <t>A partir de 20 anos</t>
  </si>
  <si>
    <t>VOLTAR PLANILHA PRINCIPAL</t>
  </si>
  <si>
    <r>
      <t>Nota:</t>
    </r>
    <r>
      <rPr>
        <sz val="14"/>
        <color rgb="FF000000"/>
        <rFont val="Calibri"/>
        <family val="2"/>
        <scheme val="minor"/>
      </rPr>
      <t> Entretanto, a lei não especifica que deva aplicar esta proporcionalidade de acordo com o tempo de empresa, porquanto </t>
    </r>
    <r>
      <rPr>
        <b/>
        <u/>
        <sz val="14"/>
        <color rgb="FF000000"/>
        <rFont val="Calibri"/>
        <family val="2"/>
        <scheme val="minor"/>
      </rPr>
      <t>entendemos que a falta ao final do aviso ainda seja de 7 (sete) dias</t>
    </r>
    <r>
      <rPr>
        <sz val="14"/>
        <color rgb="FF000000"/>
        <rFont val="Calibri"/>
        <family val="2"/>
        <scheme val="minor"/>
      </rPr>
      <t>. Já em relação a redução de jornada, </t>
    </r>
    <r>
      <rPr>
        <b/>
        <u/>
        <sz val="14"/>
        <color rgb="FF000000"/>
        <rFont val="Calibri"/>
        <family val="2"/>
        <scheme val="minor"/>
      </rPr>
      <t>entendemos que deva ser de 2 horas independentemente do número de dias</t>
    </r>
    <r>
      <rPr>
        <sz val="14"/>
        <color rgb="FF000000"/>
        <rFont val="Calibri"/>
        <family val="2"/>
        <scheme val="minor"/>
      </rPr>
      <t> de aviso trabalhado.</t>
    </r>
  </si>
  <si>
    <t>Exemplo</t>
  </si>
  <si>
    <t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</si>
  <si>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>Neste caso, a data de pagamento das verbas rescisórias será o dia seguinte ao término do aviso, ou seja, 01.08.2011.</t>
  </si>
  <si>
    <t>FONTE: www.guiatrabalhista.com.br</t>
  </si>
  <si>
    <t>PRORROGAÇÃO EXECEPCIONAL (§ 4º DO ART. 57 DA LLC)</t>
  </si>
  <si>
    <t>FALTAS LEGAIS</t>
  </si>
  <si>
    <t>Limite de Faltas</t>
  </si>
  <si>
    <t>Motivo</t>
  </si>
  <si>
    <t>Colunas1</t>
  </si>
  <si>
    <t>Colunas2</t>
  </si>
  <si>
    <t>até 2 dias consecutivos</t>
  </si>
  <si>
    <t>Falecimento de cônjuge, ascendente, descendente, irmão ou pessoa que, declarada em sua CTPS, viva sob sua dependência econômica.</t>
  </si>
  <si>
    <t>até 3 dias consecutivos</t>
  </si>
  <si>
    <t>Casamento</t>
  </si>
  <si>
    <t>5 dias, no decorrer da primeira semana</t>
  </si>
  <si>
    <t>Nascimento de Filho (Este inciso fica tacitamente revogado em virtude do inciso XIX do art. 7º da CF/88 que instituiu a Licença-Paternidade e pelo § 1º do Art. 10 da ADCT/88 que fixou o prazo para 5 (cinco) dias.)</t>
  </si>
  <si>
    <t>1 dia em cada 12 meses de trabalho</t>
  </si>
  <si>
    <t>Doação voluntária de sangue devidamente comprovada</t>
  </si>
  <si>
    <t>até 2 dias consecutivos ou não</t>
  </si>
  <si>
    <t>Alistamento eleitoral</t>
  </si>
  <si>
    <t>até 9 dias</t>
  </si>
  <si>
    <t>gala ou luto, em conseqüência de falecimento do cônjuge, do pai ou mãe, ou de filho de professor</t>
  </si>
  <si>
    <t>---</t>
  </si>
  <si>
    <t>Dias em que estiver comprovadamente realizando provas do exame vestibular em estabelecimento de ensino superior</t>
  </si>
  <si>
    <t>No período de tempo em que tiver de cumprir as exigências do Serviço Militar (art. 65 letra "c" da Lei nº 4375/64)</t>
  </si>
  <si>
    <t>Apresentar-se, anualmente, no local e data que forem fixados, para fins de exercício de apresentação das reservas ou cerimônia cívica do Dia do Reservista.</t>
  </si>
  <si>
    <t>Ausências decorrentes de exercícios ou manobras, pelo convocado matriculado em órgão de formação de reserva (art.60 § 4º da Lei º 4375/64)</t>
  </si>
  <si>
    <t>Ausência do empregado, justificada, a critério do empregador</t>
  </si>
  <si>
    <t>Paralisação dos serviços nos dias em que, por conveniência do empregador, não tenha havido trabalho.</t>
  </si>
  <si>
    <t>Falta ao serviço por acidente de trabalho</t>
  </si>
  <si>
    <t>2 semanas</t>
  </si>
  <si>
    <t>Aborto não criminoso, comprovado por atestado médico oficial</t>
  </si>
  <si>
    <t>até 15 dias</t>
  </si>
  <si>
    <t>Doença, devidamente comprovada por atestado médico (1)</t>
  </si>
  <si>
    <t>Comparecimento necessário, como parte, à Justiça do Trabalho</t>
  </si>
  <si>
    <t>Comparecimento para depor na Justiça, quando devidamente arrolado ou convocado como testemunha</t>
  </si>
  <si>
    <t>Comparecimento às sessões do júri, como jurado sorteado</t>
  </si>
  <si>
    <t>Ausências dos representantes dos trabalhadores no Conselho Curador do FGTS, decorrentes de atividades desse órgão</t>
  </si>
  <si>
    <t>Convocação para o serviço eleitoral</t>
  </si>
  <si>
    <t xml:space="preserve"> </t>
  </si>
  <si>
    <t>PLANILHA DE CUSTOS E FORMAÇÃO DE PREÇOS</t>
  </si>
  <si>
    <t>Tipo de serviço (mesmo serviço com características distintas)</t>
  </si>
  <si>
    <t xml:space="preserve">Assistência médica e familiar </t>
  </si>
  <si>
    <t xml:space="preserve">Auxílio creche </t>
  </si>
  <si>
    <t xml:space="preserve">Seguro de vida </t>
  </si>
  <si>
    <t>Outros</t>
  </si>
  <si>
    <t>INTERVALO INTRAJORNADA</t>
  </si>
  <si>
    <t>DSR INTRAJORNADA</t>
  </si>
  <si>
    <t>ESPECIFICAÇÃO</t>
  </si>
  <si>
    <t>2.1</t>
  </si>
  <si>
    <t>Transporte</t>
  </si>
  <si>
    <t>13º Salário, Férias e Adicional de Férias</t>
  </si>
  <si>
    <t>GPS, FGTS e outras contribuições</t>
  </si>
  <si>
    <t>Beneficios diários e mensais</t>
  </si>
  <si>
    <t>Férias e Adicional de Férias</t>
  </si>
  <si>
    <t>Multa do FGTS do aviso prévio indenizado e trabalhado</t>
  </si>
  <si>
    <t>Módulo 4 – Custo de Reposição do Profissional Ausente</t>
  </si>
  <si>
    <t>Quadro resumo dos beneficios</t>
  </si>
  <si>
    <t>TOTAL DO MÓDULO 1</t>
  </si>
  <si>
    <t>TOTAL DO MÓDULO 2</t>
  </si>
  <si>
    <t>TOTAL DO MÓDULO 3</t>
  </si>
  <si>
    <t>TOTAL DO MÓDULO 4</t>
  </si>
  <si>
    <t>TOTAL DO MÓDULO 5</t>
  </si>
  <si>
    <t>Módulo 3 – Provisão para Rescisão</t>
  </si>
  <si>
    <t>Módulo 5 – Insumos Diversos</t>
  </si>
  <si>
    <t>Módulo 2 – Encargos e Benefícios Anuais, Mensais e Diários</t>
  </si>
  <si>
    <t>Módulo 6 – Custos indiretos, tributos e lucro</t>
  </si>
  <si>
    <t>MÓDULO 3 - PROVISÃO PARA RESCISÃO</t>
  </si>
  <si>
    <t>MÓDULO 4 – CUSTO DE REPOSIÇÃO DO PROFISSIONAL AUSENTE</t>
  </si>
  <si>
    <t>MÓDULO 5 - INSUMOS DIVERSOS</t>
  </si>
  <si>
    <t xml:space="preserve">MÓDULO 6 – CUSTOS INDIRETOS, TRIBUTOS E LUCRO </t>
  </si>
  <si>
    <t>Ordem</t>
  </si>
  <si>
    <t>Unidade</t>
  </si>
  <si>
    <t>Quantidade</t>
  </si>
  <si>
    <t>Valor Unitário</t>
  </si>
  <si>
    <t>EQUIPAMENTOS PERMANENTES</t>
  </si>
  <si>
    <t>Vida Útil (Meses)</t>
  </si>
  <si>
    <t>Valor Mensal</t>
  </si>
  <si>
    <t>Submódulo 2.3 – Beneficios Mensais</t>
  </si>
  <si>
    <t>Tipo do Serviço</t>
  </si>
  <si>
    <t>Valor proposto por empregado</t>
  </si>
  <si>
    <t>Quantidade de empregados por posto</t>
  </si>
  <si>
    <t>Quantidade de postos</t>
  </si>
  <si>
    <t>Valor proposto por posto</t>
  </si>
  <si>
    <t>Valor total do Serviço Mensal</t>
  </si>
  <si>
    <t>Valor total do Serviço Anual</t>
  </si>
  <si>
    <t>(A)</t>
  </si>
  <si>
    <t>(B)</t>
  </si>
  <si>
    <t>( C )</t>
  </si>
  <si>
    <t>(F) = (D x E)</t>
  </si>
  <si>
    <t>Uniformes</t>
  </si>
  <si>
    <t>Equipamentos</t>
  </si>
  <si>
    <t>Ambulancia de Suporte Avançado tipo "B"</t>
  </si>
  <si>
    <t>Ambulância Tipo B</t>
  </si>
  <si>
    <t>Base de cálculo: De acordo com a instrução normativa nº 05/2017 anexo VII nota 3, a base de cálculo neste módulo deverá ser a soma: MÓDULO 1 + SUBMÓDULO 2.1.</t>
  </si>
  <si>
    <t>Auxílio alimentação</t>
  </si>
  <si>
    <t>Substituto na Cobertura de Férias (1/12 avos)</t>
  </si>
  <si>
    <t>Substituto na Cobertura de Ausências Legais (por doença)</t>
  </si>
  <si>
    <t>Substituto na Cobertura de Licença Paternidade</t>
  </si>
  <si>
    <t>Substituto na Cobertura Por Acidente de Trabalho</t>
  </si>
  <si>
    <t>Substituto na Cobertura de Licença Maternidade</t>
  </si>
  <si>
    <t>Outros  (Especificar)</t>
  </si>
  <si>
    <t>Submódulo 4.1 - Ausências Legais</t>
  </si>
  <si>
    <t>4.1</t>
  </si>
  <si>
    <t>3.0</t>
  </si>
  <si>
    <t>Submódulo 4.2 - Intrajornada</t>
  </si>
  <si>
    <t>Intervalo para Repouso ou Alimentação</t>
  </si>
  <si>
    <t>QUADRO-RESUMO DO MÓDULO 4 - CUSTO DE REPOSIÇÃO DO PROFISSIONAL AUSENTE</t>
  </si>
  <si>
    <t>Adicional de Hora Noturna Reduzida</t>
  </si>
  <si>
    <t>DÉCIMO TERCEIRO SALÁRIO, FÉRIAS E ADICIONAL DE FÉRIAS</t>
  </si>
  <si>
    <t xml:space="preserve">Base de cálculo: De acordo com a instrução normativa nº 05/2017 anexo VII nota 3, a base de cálculo neste módulo deverá ser a soma: MÓDULO 1 + SUBMÓDULO 2.1. </t>
  </si>
  <si>
    <t xml:space="preserve">FGTS (8,0%) </t>
  </si>
  <si>
    <t>SEBRAE</t>
  </si>
  <si>
    <t>2.2</t>
  </si>
  <si>
    <t>2.3</t>
  </si>
  <si>
    <t xml:space="preserve">BENEFÍCIOS MENSAIS E DIÁRIOS </t>
  </si>
  <si>
    <t xml:space="preserve">Auxílio alimentação </t>
  </si>
  <si>
    <t>Multa sobre FGTS e Contribuição Social sobre o Aviso Prévio Indenizado e sobre o Aviso Prévio Trabalhado. (Alterado Conf. Lei nº 13.932/2019)</t>
  </si>
  <si>
    <t>Módulo 4 – Encargos sociais e trabalhistas</t>
  </si>
  <si>
    <t>4.2</t>
  </si>
  <si>
    <t>Uniformes e EPIs</t>
  </si>
  <si>
    <t>Materiais</t>
  </si>
  <si>
    <t>Quadro-resumo do módulo 2-ENCARGOS E BENEFÍCIOS ANUAIS, MENSAIS E DIÁRIOS</t>
  </si>
  <si>
    <t>(M-T)      CUSTO TOTAL DA PLANILHA PARA EFEITO DE CÁLCULO DO MÓDULO 5 (M1+M2+M3+M4+M5)</t>
  </si>
  <si>
    <t>Valor Total Anual</t>
  </si>
  <si>
    <t>(G) = (D x 12)</t>
  </si>
  <si>
    <t>(D)</t>
  </si>
  <si>
    <t>(E) = (B x C)</t>
  </si>
  <si>
    <t>UNIFORMES E EPI (POR FUNCIONÁRIO)</t>
  </si>
  <si>
    <t>TOTAL MENSAL POR FUNCIONÁRIO</t>
  </si>
  <si>
    <t>Enfermeiro - Diurno</t>
  </si>
  <si>
    <t>Médico - Diurno</t>
  </si>
  <si>
    <t xml:space="preserve">INFORMAÇÃO: </t>
  </si>
  <si>
    <t>Técnico de Enfermagem - Noturno</t>
  </si>
  <si>
    <t>Técnico de Enfermagem - Diurno</t>
  </si>
  <si>
    <t>Ambulância Tipo D</t>
  </si>
  <si>
    <t>Enfermeiro - Noturno</t>
  </si>
  <si>
    <t>Médico - Noturno</t>
  </si>
  <si>
    <t>Ambulancia de Suporte Avançado tipo "D"</t>
  </si>
  <si>
    <t>TOTAL MENSAL POR  FUNCIONÁRIO HRC - AMBULANCIA TIPO "B"</t>
  </si>
  <si>
    <t>TOTAL MENSAL POR  FUNCIONÁRIO HRC - AMBULANCIA TIPO "D"</t>
  </si>
  <si>
    <t xml:space="preserve"> Custo Fixo do Veículo</t>
  </si>
  <si>
    <t>Licenciamento;                                                                                                                                                                                                                                                                                                                                                            Seguro  Obrigatório (DPVAT);                                                                                                                                                                                                                                                                                                                               Seguro do Veículo.</t>
  </si>
  <si>
    <t xml:space="preserve"> Custo Variável do Veículo</t>
  </si>
  <si>
    <t>Manutenção preventiva e corretiva (peças e serviços de oficina);
Pneus e câmaras;
Lubrificantes (óleo de câmbio/diferencial);
Lubrificantes (óleo de cárter + filtro); 
Borracharia;
Lavagem do Veículo;
Aferições e Manut. C e P dos Equipamentos da ambulância;  
Sistema de rastreamento (GPS);
Ar-Condicionado.</t>
  </si>
  <si>
    <t>Ambulância Tipo "D"</t>
  </si>
  <si>
    <t>Ambulância Tipo "B"</t>
  </si>
  <si>
    <t>INFORMAÇÃO:</t>
  </si>
  <si>
    <t xml:space="preserve"> MATERIAIS PERMANENTES</t>
  </si>
  <si>
    <t>Ambulância de Suporte Básico Tipo B</t>
  </si>
  <si>
    <t>Definição dos Materiais e Equipamentos das Ambulâncias:</t>
  </si>
  <si>
    <t>Ambulância de Suporte Avançado Tipo D (UTI Móvel)</t>
  </si>
  <si>
    <t>Motorista - Diurno</t>
  </si>
  <si>
    <t>VALOR TOTAL (R$) - LOTE V:</t>
  </si>
  <si>
    <t>LOTE V - HOSPITAL DE URGÊNCIA E EMERGÊNCIA REGIONAL DE CACOAL-HEURO E HOSPITAL REGIONAL DE CACOAL-HRC</t>
  </si>
  <si>
    <t>Prestação de Serviço de Transporte Inter-Hospitalar de Pacientes, com disponibilização de Veículo/Ambulância de Suporte Avançado TIPO ”D” (UTI Móvel) e Suporte Básico TIPO "B", com mão de obra especializada</t>
  </si>
  <si>
    <t>Prestação de Serviço de Transporte Inter-Hospitalar de Pacientes, com disponibilização de Veículo/Ambulância de Suporte Avançado TIPO ”D” (UTI Móvel) e Suporte Básico TIPO "B"</t>
  </si>
  <si>
    <t>Motorista - Noturno</t>
  </si>
  <si>
    <t>LEI Nº 14.434/2022</t>
  </si>
  <si>
    <t xml:space="preserve">Médico - Diurno </t>
  </si>
  <si>
    <t xml:space="preserve">HRC  - TIPO "B" </t>
  </si>
  <si>
    <t xml:space="preserve"> HEURO  - TIPO "B" </t>
  </si>
  <si>
    <t xml:space="preserve">HRC  - TIPO "D" </t>
  </si>
  <si>
    <t xml:space="preserve"> HEURO  - TIPO "D" </t>
  </si>
  <si>
    <t xml:space="preserve">TOTAL MENSAL POR  FUNCIONÁRIO HEURO - AMBULANCIA TIPO "D" </t>
  </si>
  <si>
    <t>TOTAL MENSAL POR  FUNCIONÁRIO HEURO - AMBULANCIA TIPO "B"</t>
  </si>
  <si>
    <t xml:space="preserve">Periodicidade </t>
  </si>
  <si>
    <t xml:space="preserve"> Calça</t>
  </si>
  <si>
    <t>6 meses</t>
  </si>
  <si>
    <t>Camisa</t>
  </si>
  <si>
    <t>Crachá</t>
  </si>
  <si>
    <t>Par de calçados</t>
  </si>
  <si>
    <t>Deverão conter necessariamente:
Sinalizador óptico e acústico; equipamento de rádio-comunicação fixo e móvel; maca articulada e com rodas; suporte para soro; instalação de rede de oxigênio com cilindro, válvula, manômetro em local de fácil visualização e régua com dupla saída; oxigênio com régua tripla (a- alimentação do respirador; b- fluxômetro e umidificador de oxigênio e c - aspirador tipo Venturi); manômetro e fluxômetro com máscara e chicote para oxigenação; cilindro de oxigênio portátil com válvula; maleta de urgência contendo: estetoscópio adulto e infantil, ressuscitador manual adulto/infantil, cânulas orofaríngeas de tamanhos variados, luvas descartáveis, tesoura reta com ponta romba, esparadrapo, esfigmomanômetro adulto/infantil, ataduras de 15 cm, compressas cirúrgicas estéreis, pacotes de gaze estéril, protetores para queimados ou eviscerados, cateteres para oxigenação e aspiração de vários tamanhos; maleta de parto contendo: luvas cirúrgicas, clamps umbilicais, estilete estéril para corte do cordão, saco plástico para placenta, cobertor, compressas cirúrgicas e gazes estéreis, braceletes de identificação; suporte para soro; prancha curta e longa para imobilização de coluna; talas para imobilização de membros e conjunto de colares cervicais; colete imobilizador dorsal; frascos de soro fisiológico e ringer lactato; bandagens triangulares; cobertores; coletes refletivos para a tripulação; lanterna de mão; óculos, máscaras e aventais de proteção e maletas com medicações a serem definidas em protocolos, pelos serviços. As ambulâncias de suporte básico que realizam também ações de salvamento deverão conter o material mínimo para salvamento terrestre, aquático e em alturas, maleta de ferramentas e extintor de pó químico seco de 0,8 Kg, fitas e cones sinalizadores para isolamento de áreas, devendo contar, ainda com compartimento isolado para a sua guarda, garantindo um salão de atendimento às vítimas de, no mínimo, 8 metros cúbicos. Todos os equipamentos devem possuir termos de aferição específicos.</t>
  </si>
  <si>
    <t>Deverão conter necessariamente:
Sinalizador óptico e acústico; equipamento de rádio-comunicação fixo e móvel; maca com rodas e articulada; dois suportes de soro; cadeira de rodas dobrável; instalação de rede portátil de oxigênio como descrito no item anterior (é obrigatório que a quantidade de oxigênio permita ventilação mecânica por no mínimo duas horas); respirador mecânico de transporte; oxímetro não-invasivo portátil; monitor cardioversor com bateria e instalação elétrica disponível (em caso de frota deverá haver disponibilidade de um monitor cardioversor com marca-passo externo não-invasivo); bomba de infusão com bateria e equipo; maleta de vias aéreas contendo: máscaras laríngeas e cânulas endotraqueais de vários tamanhos; cateteres de aspiração; adaptadores para cânulas; cateteres nasais; seringa de 20ml; ressuscitador manual adulto/infantil com reservatório; sondas para aspiração traqueal de vários tamanhos; luvas de procedimentos; máscara para ressuscitador adulto/infantil; lidocaína geléia e “spray”; cadarços para fixação de cânula; laringoscópio infantil/adulto com conjunto de lâminas; estetoscópio; esfigmomanômetro adulto/infantil; cânulas orofaríngeas adulto/infantil; fios-guia para intubação; pinça de Magyll; bisturi descartável; cânulas para traqueostomia; material para cricotiroidostomia; conjunto de drenagem torácica; maleta de acesso venoso contendo: tala para fixação de braço; luvas estéreis; recipiente de algodão com anti-séptico; pacotes de gaze estéril; esparadrapo; material para punção de vários tamanhos incluindo agulhas metálicas, plásticas e agulhas especiais para punção óssea; garrote; equipos de macro e microgotas; cateteres específicos para dissecção de veias, tamanho adulto/infantil; tesoura, pinça de Kocher; cortadores de soro; lâminas de bisturi; seringas de vários tamanhos; torneiras de 3 vias; equipo de infusão de 3 vias; frascos de soro fisiológico, ringer lactato e soro glicosado; caixa completa de pequena cirurgia; maleta de parto como descrito nos itens anteriores; sondas vesicais; coletores de urina; protetores para eviscerados ou queimados; espátulas de madeira; sondas nasogástricas ; eletrodos descartáveis; equipos para drogas fotossensíveis; equipo para bombas de infusão; circuito de respirador estéril de reserva; equipamentos de proteção à equipe de atendimento: óculos, máscaras e aventais; cobertor ou filme metálico para conservação do calor do corpo; campo cirúrgico fenestrado; almotolias com anti-séptico; conjunto de colares cervicais; prancha longa para imobilização da coluna. Para o atendimento a neonatos deverá haver pelo menos uma Incubadora de transporte de recém-nascido com bateria e ligação à tomada do veículo (12 volts). A incubadora deve estar apoiada sobre carros com rodas devidamente fixadas quando dentro da ambulância e conter respirador e equipamentos adequados para recém natos. Todos os equipamentos devem possuir termos de aferição específicos.</t>
  </si>
  <si>
    <t>ITEM</t>
  </si>
  <si>
    <t>DEFINIÇÃO/CLASSIFICAÇÃO DOS VEÍCULO/AMBULÂNCIA</t>
  </si>
  <si>
    <t>CARGA
HORÁRIA</t>
  </si>
  <si>
    <t>UNIDADE</t>
  </si>
  <si>
    <t>QUANTIDADE</t>
  </si>
  <si>
    <t xml:space="preserve">VALOR UNITÁRIO (R$) </t>
  </si>
  <si>
    <t>VALOR TOTAL MENSAL (R$)</t>
  </si>
  <si>
    <t>VALOR TOTAL ANUAL (R$)</t>
  </si>
  <si>
    <t>24 horas/dia
(7 dias por semana)</t>
  </si>
  <si>
    <t>SERVIÇO</t>
  </si>
  <si>
    <r>
      <t>Ambulância de Suporte Básico</t>
    </r>
    <r>
      <rPr>
        <b/>
        <sz val="11"/>
        <rFont val="Calibri"/>
        <family val="2"/>
        <scheme val="minor"/>
      </rPr>
      <t xml:space="preserve"> TIPO "B”</t>
    </r>
    <r>
      <rPr>
        <sz val="11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</t>
    </r>
    <r>
      <rPr>
        <b/>
        <sz val="11"/>
        <rFont val="Calibri"/>
        <family val="2"/>
        <scheme val="minor"/>
      </rPr>
      <t xml:space="preserve"> (HOSPITAL REGIONAL DE CACOAL - HRC)</t>
    </r>
  </si>
  <si>
    <r>
      <t>Ambulância de Suporte Básico</t>
    </r>
    <r>
      <rPr>
        <b/>
        <sz val="11"/>
        <rFont val="Calibri"/>
        <family val="2"/>
        <scheme val="minor"/>
      </rPr>
      <t xml:space="preserve"> TIPO "B”</t>
    </r>
    <r>
      <rPr>
        <sz val="11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rFont val="Calibri"/>
        <family val="2"/>
        <scheme val="minor"/>
      </rPr>
      <t>(HOSPITAL DE URGÊNCIA E EMERGÊNCIA REGIONAL DE CACOAL - HEURO)</t>
    </r>
  </si>
  <si>
    <r>
      <t xml:space="preserve">Ambulância de Suporte Avançado </t>
    </r>
    <r>
      <rPr>
        <b/>
        <sz val="11"/>
        <color rgb="FF000000"/>
        <rFont val="Calibri"/>
        <family val="2"/>
        <scheme val="minor"/>
      </rPr>
      <t>TIPO "D”</t>
    </r>
    <r>
      <rPr>
        <sz val="11"/>
        <color rgb="FF000000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color rgb="FF000000"/>
        <rFont val="Calibri"/>
        <family val="2"/>
        <scheme val="minor"/>
      </rPr>
      <t>(HOSPITAL REGIONAL DE CACOAL - HRC)</t>
    </r>
  </si>
  <si>
    <t>O Termo de Referência aborda, em seu item 3.3, as Especificações Técnicas das Ambulâncias de acordo com a Portaria do Ministério da Saúde nº 2.048/GM de 5 de novembro de 2002. No entanto, o termo não fornece especificações quanto aos percentuais a serem aplicados a esses itens. Com o intuito de otimizar o processo, o setor responsável pela elaboração de planilhas de custos optou por adotar uma taxa de 1% sobre o valor total do veículo para esses materiais e equipamentos. Em caso de aplicação de um percentual superior ao estabelecido por este setor, solicito que seja devidamente justificado.</t>
  </si>
  <si>
    <t>Motorista/Socorrista - Diurno</t>
  </si>
  <si>
    <t xml:space="preserve">Motorista/Socorrista - Noturno </t>
  </si>
  <si>
    <t xml:space="preserve">HEURO - TIPO "B" </t>
  </si>
  <si>
    <t xml:space="preserve">HRC - TIPO "B" </t>
  </si>
  <si>
    <t>HRC - TIPO "D"</t>
  </si>
  <si>
    <t>HEURO - TIPO "D"</t>
  </si>
  <si>
    <t xml:space="preserve">Quantidade Mensal </t>
  </si>
  <si>
    <t>Quantidade Anual</t>
  </si>
  <si>
    <t>Valor m3</t>
  </si>
  <si>
    <t>OXIGÊNIO GASOSO</t>
  </si>
  <si>
    <t>m3</t>
  </si>
  <si>
    <t>AR COMPRIMIDO MEDICINAL</t>
  </si>
  <si>
    <t>RO000003/2025</t>
  </si>
  <si>
    <t xml:space="preserve">Tributos federais </t>
  </si>
  <si>
    <t xml:space="preserve">PIS </t>
  </si>
  <si>
    <t>COFINS</t>
  </si>
  <si>
    <t>Tributos municipais (ISS/ISSQN)</t>
  </si>
  <si>
    <t>C.1</t>
  </si>
  <si>
    <t>C.1.1</t>
  </si>
  <si>
    <t>C.1.2</t>
  </si>
  <si>
    <t>C.2</t>
  </si>
  <si>
    <t>Subtotal (A+B+C+D+E)</t>
  </si>
  <si>
    <t>RO000003/2025 e LEI Nº 14.434/2022</t>
  </si>
  <si>
    <t>Informo que os dados utilizados para calcular a estimativa do "Salário Normativo da Categoria Profissional" foram extraídos do Processo 0036.347150/2020-29, especificamente da página 111 do Edital PE 763/2021 RETIFICADO (0033253925). O valor inicial de R$ 13.581,68 foi ajustado de forma progressiva, aplicando-se individualmente as alíquotas sobre o valor apurado no ano anterior, de acordo com os reajustes anuais do salário mínimo. Para o ano de 2022, foi aplicada uma alíquota de 10,18%, sobre o valor de 2021; para 2023, uma alíquota de 8,9%, sobre o valor de 2022; para 2024, uma alíquota de 6,97, sobre o valor de 2023; e, finalmente, para 2025, a alíquota de 7,5%, sobre o valor de 2024. Esse procedimento foi adotado devido à ausência de acordo, convenção coletiva ou sentença normativa específica para a categoria, conforme estipulado pela Instrução Normativa Nº 05/2017/SEGES, que determina que, na falta desses instrumentos, o valor pode ser baseado nos salários praticados no mercado ou apurados em publicações ou pesquisas setoriais.</t>
  </si>
  <si>
    <t>Substituto na Cobertura de Ausências Legais (faltas legais)</t>
  </si>
  <si>
    <r>
      <t>N</t>
    </r>
    <r>
      <rPr>
        <strike/>
        <sz val="11"/>
        <rFont val="Calibri"/>
        <family val="2"/>
        <scheme val="minor"/>
      </rPr>
      <t>º</t>
    </r>
    <r>
      <rPr>
        <sz val="11"/>
        <rFont val="Calibri"/>
        <family val="2"/>
        <scheme val="minor"/>
      </rPr>
      <t xml:space="preserve"> de meses de execução contratual</t>
    </r>
  </si>
  <si>
    <r>
      <rPr>
        <b/>
        <sz val="11"/>
        <rFont val="Calibri"/>
        <family val="2"/>
        <scheme val="minor"/>
      </rPr>
      <t>INSS</t>
    </r>
    <r>
      <rPr>
        <sz val="11"/>
        <rFont val="Calibri"/>
        <family val="2"/>
        <scheme val="minor"/>
      </rPr>
      <t xml:space="preserve"> (20%)</t>
    </r>
  </si>
  <si>
    <r>
      <rPr>
        <b/>
        <sz val="11"/>
        <rFont val="Calibri"/>
        <family val="2"/>
        <scheme val="minor"/>
      </rPr>
      <t>SALÁRIO EDUCAÇÃO</t>
    </r>
    <r>
      <rPr>
        <sz val="11"/>
        <rFont val="Calibri"/>
        <family val="2"/>
        <scheme val="minor"/>
      </rPr>
      <t xml:space="preserve"> (2,5%)</t>
    </r>
  </si>
  <si>
    <r>
      <rPr>
        <b/>
        <sz val="11"/>
        <rFont val="Calibri"/>
        <family val="2"/>
        <scheme val="minor"/>
      </rPr>
      <t>RAT X SAT (Conforme GFIP)</t>
    </r>
    <r>
      <rPr>
        <sz val="11"/>
        <rFont val="Calibri"/>
        <family val="2"/>
        <scheme val="minor"/>
      </rPr>
      <t xml:space="preserve"> (Riscos Ambientais do Trabalho) (Sat/Inss(médio)) (Riscos: Leve 1,0%, Médio 2,0%, Grave 3,0% - veja Decreto 3048/99 - Anexo V (CNAE de 1% a 3% FAP de 0,5 a 2,0)</t>
    </r>
  </si>
  <si>
    <r>
      <rPr>
        <b/>
        <sz val="11"/>
        <rFont val="Calibri"/>
        <family val="2"/>
        <scheme val="minor"/>
      </rPr>
      <t>SESI OU SESC</t>
    </r>
    <r>
      <rPr>
        <sz val="11"/>
        <rFont val="Calibri"/>
        <family val="2"/>
        <scheme val="minor"/>
      </rPr>
      <t xml:space="preserve"> (1,5%)</t>
    </r>
  </si>
  <si>
    <r>
      <rPr>
        <b/>
        <sz val="11"/>
        <rFont val="Calibri"/>
        <family val="2"/>
        <scheme val="minor"/>
      </rPr>
      <t>SENAI OU SENAC</t>
    </r>
    <r>
      <rPr>
        <sz val="11"/>
        <rFont val="Calibri"/>
        <family val="2"/>
        <scheme val="minor"/>
      </rPr>
      <t xml:space="preserve"> (1,0%)</t>
    </r>
  </si>
  <si>
    <r>
      <rPr>
        <b/>
        <sz val="11"/>
        <rFont val="Calibri"/>
        <family val="2"/>
        <scheme val="minor"/>
      </rPr>
      <t xml:space="preserve">INCRA </t>
    </r>
    <r>
      <rPr>
        <sz val="11"/>
        <rFont val="Calibri"/>
        <family val="2"/>
        <scheme val="minor"/>
      </rPr>
      <t>(0,20% ou  2,7%) - IN nº971, MPS/SRP/2009, Anexo I e II ver código da Tabela</t>
    </r>
  </si>
  <si>
    <r>
      <rPr>
        <b/>
        <sz val="11"/>
        <color theme="1"/>
        <rFont val="Calibri"/>
        <family val="2"/>
        <scheme val="minor"/>
      </rPr>
      <t>O Termo de Referência estabelece as seguintes diretrizes: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13.2.14.</t>
    </r>
    <r>
      <rPr>
        <sz val="11"/>
        <color theme="1"/>
        <rFont val="Calibri"/>
        <family val="2"/>
        <scheme val="minor"/>
      </rPr>
      <t xml:space="preserve"> O contratado deve arcar com todas as despesas relacionadas aos veículos de sua propriedade, incluindo manutenção preventiva e corretiva, limpeza, acidentes, pedágio, impostos, estacionamento, taxas, licenciamentos (como IPVA), seguro obrigatório, taxa de emplacamento, eventuais multas e penalidades, bem como quaisquer outras despesas que impactem direta ou indiretamente nos serviços contratados. A contratante fica isenta de qualquer responsabilidade jurídica ou financeira nessas situações.
</t>
    </r>
    <r>
      <rPr>
        <b/>
        <sz val="11"/>
        <color theme="1"/>
        <rFont val="Calibri"/>
        <family val="2"/>
        <scheme val="minor"/>
      </rPr>
      <t>13.2.21.</t>
    </r>
    <r>
      <rPr>
        <sz val="11"/>
        <color theme="1"/>
        <rFont val="Calibri"/>
        <family val="2"/>
        <scheme val="minor"/>
      </rPr>
      <t xml:space="preserve"> É responsabilidade do contratado realizar a manutenção preventiva e corretiva dos veículos, seguindo as recomendações do fabricante, incluindo serviços de funilaria, lubrificação, substituição de pneus e peças desgastadas.
Apesar dessas disposições, o termo não especifica os percentuais a serem aplicados para o custo fixo (que abrange licenciamento, seguro, etc.) e o custo variável (que inclui manutenção, pneus, câmaras, entre outros). Para agilizar o processo, o setor encarregado da elaboração das planilhas de custos optou por adotar uma taxa de 10% sobre o valor total do veículo para estimar o custo fixo e 5% para o custo variável. No entanto, caso a empresa opte por aplicar um percentual diferente, é solicitado que justifique tal escolha.</t>
    </r>
  </si>
  <si>
    <r>
      <rPr>
        <b/>
        <sz val="11"/>
        <color theme="1"/>
        <rFont val="Calibri"/>
        <family val="2"/>
        <scheme val="minor"/>
      </rPr>
      <t>O Termo de Referência traz o seguinte: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13.2.12.</t>
    </r>
    <r>
      <rPr>
        <sz val="11"/>
        <color theme="1"/>
        <rFont val="Calibri"/>
        <family val="2"/>
        <scheme val="minor"/>
      </rPr>
      <t xml:space="preserve"> Exigir de seus empregados que se mantenham uniformizados e identificados por crachás com fotografias recentes, com nº de registro e nome da contratada.      
                                                                                                                                                                                                                                                                                                                                                                                                                                                                                                                                             Observa-se que, apesar da informação fornecida anteriormente, não há descrição ou quantidade especificada para os uniformes. Diante dessa lacuna e com o intuito de agilizar o processo, o setor responsável pela elaboração de planilhas optou por utilizar a Cláusula Trigésima da Convenção Coletiva de Trabalho RO000094/2024 do Sindicato das Empresas de Asseio, Conservação, Limpeza Pública e Locação de Mão-de-Obra do Estado de Rondônia. Conforme estabelecido nesta cláusula, as empresas devem fornecer uniformes completos aos seus trabalhadores. Entende-se entendendo-se como completo, no mínimo </t>
    </r>
    <r>
      <rPr>
        <b/>
        <sz val="11"/>
        <color theme="1"/>
        <rFont val="Calibri"/>
        <family val="2"/>
        <scheme val="minor"/>
      </rPr>
      <t>02 calças, 02 Camisas, 01 crachá e 01 Par de calçados</t>
    </r>
    <r>
      <rPr>
        <sz val="11"/>
        <color theme="1"/>
        <rFont val="Calibri"/>
        <family val="2"/>
        <scheme val="minor"/>
      </rPr>
      <t>, devendo ser substituído a cada seis meses. Serão fornecidos os respectivos equipamentos de proteção individual e coletivos aos quais fazem jus, de acordo com as normas regulamentadoras. Para trabalhadores que fiquem expostos à chuva, ao sol, as empresas deverão fornecer capas impermeáveis, bloqueador solar acima de 30 (trinta) FPS e demais acessórios que se fizerem necessários.</t>
    </r>
  </si>
  <si>
    <r>
      <t xml:space="preserve">Ambulância de Suporte Avançado </t>
    </r>
    <r>
      <rPr>
        <b/>
        <sz val="11"/>
        <color theme="1"/>
        <rFont val="Calibri"/>
        <family val="2"/>
        <scheme val="minor"/>
      </rPr>
      <t>TIPO "D”</t>
    </r>
    <r>
      <rPr>
        <sz val="11"/>
        <color theme="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color theme="1"/>
        <rFont val="Calibri"/>
        <family val="2"/>
        <scheme val="minor"/>
      </rPr>
      <t>(HOSPITAL DE URGÊNCIA E EMERGÊNCIA REGIONAL DE CACOAL - HEURO)</t>
    </r>
  </si>
  <si>
    <t>Incidência do submódulo 2.2 sobre aviso prévio trabalhado (36,80% sobre o valor do Aviso Prévio Trabalhado)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</si>
</sst>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&quot;R$&quot;\ #,##0.0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i/>
      <sz val="10"/>
      <color rgb="FF002060"/>
      <name val="Calibri"/>
      <family val="2"/>
      <scheme val="minor"/>
    </font>
    <font>
      <b/>
      <sz val="8"/>
      <color rgb="FF000000"/>
      <name val="Verdana"/>
      <family val="2"/>
    </font>
    <font>
      <b/>
      <sz val="16"/>
      <color rgb="FF00206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8"/>
      <color rgb="FFFF0000"/>
      <name val="Verdana"/>
      <family val="2"/>
    </font>
    <font>
      <sz val="14"/>
      <color rgb="FF000000"/>
      <name val="Times New Roman"/>
      <family val="1"/>
    </font>
    <font>
      <sz val="10"/>
      <color rgb="FF000000"/>
      <name val="Verdana"/>
      <family val="2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indexed="10"/>
      <name val="Arial"/>
      <family val="2"/>
    </font>
    <font>
      <b/>
      <sz val="14"/>
      <color indexed="48"/>
      <name val="Trebuchet MS"/>
      <family val="2"/>
    </font>
    <font>
      <b/>
      <sz val="14"/>
      <color indexed="10"/>
      <name val="Trebuchet MS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trike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1" fillId="0" borderId="0"/>
    <xf numFmtId="0" fontId="25" fillId="0" borderId="0"/>
    <xf numFmtId="43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26" fillId="0" borderId="0"/>
    <xf numFmtId="43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27" fillId="0" borderId="0"/>
  </cellStyleXfs>
  <cellXfs count="468">
    <xf numFmtId="0" fontId="0" fillId="0" borderId="0" xfId="0"/>
    <xf numFmtId="0" fontId="6" fillId="2" borderId="10" xfId="0" applyFont="1" applyFill="1" applyBorder="1" applyAlignment="1">
      <alignment wrapText="1"/>
    </xf>
    <xf numFmtId="0" fontId="6" fillId="2" borderId="11" xfId="0" applyFont="1" applyFill="1" applyBorder="1" applyAlignment="1">
      <alignment horizontal="center" wrapText="1"/>
    </xf>
    <xf numFmtId="0" fontId="8" fillId="0" borderId="0" xfId="0" applyFont="1" applyAlignment="1">
      <alignment horizontal="justify"/>
    </xf>
    <xf numFmtId="0" fontId="9" fillId="2" borderId="11" xfId="0" applyFont="1" applyFill="1" applyBorder="1" applyAlignment="1">
      <alignment horizontal="justify" wrapText="1"/>
    </xf>
    <xf numFmtId="0" fontId="11" fillId="0" borderId="0" xfId="0" applyFont="1" applyAlignment="1">
      <alignment horizontal="justify" wrapText="1"/>
    </xf>
    <xf numFmtId="0" fontId="12" fillId="2" borderId="11" xfId="0" applyFont="1" applyFill="1" applyBorder="1" applyAlignment="1">
      <alignment horizontal="center" wrapText="1"/>
    </xf>
    <xf numFmtId="0" fontId="9" fillId="2" borderId="11" xfId="0" applyFont="1" applyFill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/>
    <xf numFmtId="0" fontId="9" fillId="2" borderId="12" xfId="0" applyFont="1" applyFill="1" applyBorder="1" applyAlignment="1">
      <alignment horizontal="center" wrapText="1"/>
    </xf>
    <xf numFmtId="0" fontId="0" fillId="0" borderId="11" xfId="0" applyBorder="1"/>
    <xf numFmtId="0" fontId="0" fillId="0" borderId="11" xfId="0" applyBorder="1" applyAlignment="1">
      <alignment horizontal="center"/>
    </xf>
    <xf numFmtId="0" fontId="0" fillId="3" borderId="11" xfId="0" applyFill="1" applyBorder="1"/>
    <xf numFmtId="0" fontId="0" fillId="3" borderId="11" xfId="0" applyFill="1" applyBorder="1" applyAlignment="1">
      <alignment horizontal="center"/>
    </xf>
    <xf numFmtId="0" fontId="0" fillId="0" borderId="12" xfId="0" applyBorder="1"/>
    <xf numFmtId="0" fontId="4" fillId="0" borderId="0" xfId="6" applyAlignment="1" applyProtection="1"/>
    <xf numFmtId="0" fontId="16" fillId="0" borderId="0" xfId="0" applyFont="1" applyAlignment="1">
      <alignment horizontal="center" wrapText="1"/>
    </xf>
    <xf numFmtId="0" fontId="2" fillId="0" borderId="0" xfId="0" applyFont="1"/>
    <xf numFmtId="0" fontId="8" fillId="0" borderId="0" xfId="0" applyFont="1"/>
    <xf numFmtId="0" fontId="18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justify" vertical="center" wrapText="1"/>
    </xf>
    <xf numFmtId="0" fontId="19" fillId="0" borderId="15" xfId="0" applyFont="1" applyBorder="1" applyAlignment="1">
      <alignment horizontal="justify" vertical="center" wrapText="1"/>
    </xf>
    <xf numFmtId="0" fontId="19" fillId="0" borderId="8" xfId="0" applyFont="1" applyBorder="1" applyAlignment="1">
      <alignment horizontal="justify" vertical="center" wrapText="1"/>
    </xf>
    <xf numFmtId="0" fontId="19" fillId="0" borderId="7" xfId="0" applyFont="1" applyBorder="1" applyAlignment="1">
      <alignment horizontal="justify" vertical="center" wrapText="1"/>
    </xf>
    <xf numFmtId="0" fontId="19" fillId="0" borderId="16" xfId="0" applyFont="1" applyBorder="1" applyAlignment="1">
      <alignment horizontal="justify" vertical="center" wrapText="1"/>
    </xf>
    <xf numFmtId="0" fontId="19" fillId="0" borderId="17" xfId="0" applyFont="1" applyBorder="1" applyAlignment="1">
      <alignment horizontal="justify"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justify" vertical="center"/>
    </xf>
    <xf numFmtId="164" fontId="21" fillId="0" borderId="0" xfId="2" applyNumberFormat="1" applyFont="1" applyFill="1" applyBorder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horizontal="justify" vertical="center"/>
    </xf>
    <xf numFmtId="4" fontId="20" fillId="0" borderId="0" xfId="2" applyNumberFormat="1" applyFont="1" applyFill="1" applyBorder="1" applyAlignment="1">
      <alignment vertical="center"/>
    </xf>
    <xf numFmtId="44" fontId="20" fillId="0" borderId="0" xfId="1" applyFont="1" applyFill="1" applyBorder="1" applyAlignment="1">
      <alignment horizontal="justify" vertical="center"/>
    </xf>
    <xf numFmtId="4" fontId="20" fillId="0" borderId="0" xfId="0" applyNumberFormat="1" applyFont="1" applyAlignment="1">
      <alignment vertical="center"/>
    </xf>
    <xf numFmtId="0" fontId="20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2" fillId="0" borderId="2" xfId="0" applyFont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 wrapText="1"/>
    </xf>
    <xf numFmtId="165" fontId="23" fillId="7" borderId="13" xfId="0" applyNumberFormat="1" applyFont="1" applyFill="1" applyBorder="1" applyAlignment="1">
      <alignment horizontal="center" vertical="center"/>
    </xf>
    <xf numFmtId="1" fontId="24" fillId="0" borderId="2" xfId="0" applyNumberFormat="1" applyFont="1" applyBorder="1" applyAlignment="1">
      <alignment horizontal="center" vertical="center" shrinkToFit="1"/>
    </xf>
    <xf numFmtId="0" fontId="23" fillId="5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3" fillId="5" borderId="20" xfId="0" applyFont="1" applyFill="1" applyBorder="1" applyAlignment="1">
      <alignment horizontal="center" vertical="center"/>
    </xf>
    <xf numFmtId="165" fontId="22" fillId="0" borderId="2" xfId="7" applyNumberFormat="1" applyFont="1" applyBorder="1" applyAlignment="1">
      <alignment horizontal="center" vertical="center"/>
    </xf>
    <xf numFmtId="165" fontId="22" fillId="0" borderId="19" xfId="7" applyNumberFormat="1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/>
    </xf>
    <xf numFmtId="0" fontId="26" fillId="0" borderId="0" xfId="12" applyAlignment="1">
      <alignment horizontal="left" vertical="top"/>
    </xf>
    <xf numFmtId="1" fontId="24" fillId="0" borderId="2" xfId="12" applyNumberFormat="1" applyFont="1" applyBorder="1" applyAlignment="1">
      <alignment horizontal="center" vertical="center" shrinkToFit="1"/>
    </xf>
    <xf numFmtId="0" fontId="22" fillId="0" borderId="2" xfId="12" applyFont="1" applyBorder="1" applyAlignment="1">
      <alignment horizontal="center" vertical="center" wrapText="1"/>
    </xf>
    <xf numFmtId="1" fontId="24" fillId="0" borderId="20" xfId="12" applyNumberFormat="1" applyFont="1" applyBorder="1" applyAlignment="1">
      <alignment horizontal="center" vertical="center" shrinkToFit="1"/>
    </xf>
    <xf numFmtId="165" fontId="24" fillId="0" borderId="2" xfId="12" applyNumberFormat="1" applyFont="1" applyBorder="1" applyAlignment="1">
      <alignment horizontal="center" vertical="center" wrapText="1"/>
    </xf>
    <xf numFmtId="165" fontId="24" fillId="0" borderId="19" xfId="12" applyNumberFormat="1" applyFont="1" applyBorder="1" applyAlignment="1">
      <alignment horizontal="center" vertical="center" wrapText="1"/>
    </xf>
    <xf numFmtId="165" fontId="23" fillId="7" borderId="13" xfId="12" applyNumberFormat="1" applyFont="1" applyFill="1" applyBorder="1" applyAlignment="1">
      <alignment horizontal="center" vertical="center" wrapText="1"/>
    </xf>
    <xf numFmtId="0" fontId="23" fillId="5" borderId="33" xfId="0" applyFont="1" applyFill="1" applyBorder="1" applyAlignment="1">
      <alignment horizontal="center" vertical="center"/>
    </xf>
    <xf numFmtId="0" fontId="23" fillId="5" borderId="30" xfId="0" applyFont="1" applyFill="1" applyBorder="1" applyAlignment="1">
      <alignment horizontal="center" vertical="center"/>
    </xf>
    <xf numFmtId="0" fontId="23" fillId="5" borderId="32" xfId="0" applyFont="1" applyFill="1" applyBorder="1" applyAlignment="1">
      <alignment horizontal="center" vertical="center"/>
    </xf>
    <xf numFmtId="165" fontId="23" fillId="5" borderId="2" xfId="0" applyNumberFormat="1" applyFont="1" applyFill="1" applyBorder="1" applyAlignment="1">
      <alignment horizontal="center" vertical="center"/>
    </xf>
    <xf numFmtId="165" fontId="23" fillId="5" borderId="19" xfId="0" applyNumberFormat="1" applyFont="1" applyFill="1" applyBorder="1" applyAlignment="1">
      <alignment horizontal="center" vertical="center"/>
    </xf>
    <xf numFmtId="0" fontId="22" fillId="2" borderId="34" xfId="0" applyFont="1" applyFill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/>
    </xf>
    <xf numFmtId="1" fontId="24" fillId="0" borderId="9" xfId="0" applyNumberFormat="1" applyFont="1" applyBorder="1" applyAlignment="1">
      <alignment horizontal="center" vertical="center" shrinkToFit="1"/>
    </xf>
    <xf numFmtId="165" fontId="22" fillId="0" borderId="9" xfId="0" applyNumberFormat="1" applyFont="1" applyBorder="1" applyAlignment="1">
      <alignment horizontal="center" vertical="center"/>
    </xf>
    <xf numFmtId="165" fontId="22" fillId="0" borderId="9" xfId="7" applyNumberFormat="1" applyFont="1" applyBorder="1" applyAlignment="1">
      <alignment horizontal="center" vertical="center"/>
    </xf>
    <xf numFmtId="165" fontId="22" fillId="0" borderId="24" xfId="7" applyNumberFormat="1" applyFont="1" applyBorder="1" applyAlignment="1">
      <alignment horizontal="center" vertical="center"/>
    </xf>
    <xf numFmtId="0" fontId="23" fillId="2" borderId="37" xfId="0" applyFont="1" applyFill="1" applyBorder="1" applyAlignment="1">
      <alignment horizontal="center" vertical="top" wrapText="1"/>
    </xf>
    <xf numFmtId="0" fontId="23" fillId="2" borderId="38" xfId="0" applyFont="1" applyFill="1" applyBorder="1" applyAlignment="1">
      <alignment horizontal="center" vertical="top" wrapText="1"/>
    </xf>
    <xf numFmtId="0" fontId="0" fillId="0" borderId="0" xfId="0" applyAlignment="1">
      <alignment vertical="center"/>
    </xf>
    <xf numFmtId="0" fontId="22" fillId="2" borderId="20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165" fontId="22" fillId="2" borderId="2" xfId="0" applyNumberFormat="1" applyFont="1" applyFill="1" applyBorder="1" applyAlignment="1">
      <alignment horizontal="center" vertical="center"/>
    </xf>
    <xf numFmtId="165" fontId="22" fillId="2" borderId="2" xfId="7" applyNumberFormat="1" applyFont="1" applyFill="1" applyBorder="1" applyAlignment="1">
      <alignment horizontal="center" vertical="center"/>
    </xf>
    <xf numFmtId="165" fontId="22" fillId="2" borderId="19" xfId="7" applyNumberFormat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" fontId="24" fillId="2" borderId="2" xfId="0" applyNumberFormat="1" applyFont="1" applyFill="1" applyBorder="1" applyAlignment="1">
      <alignment horizontal="center" vertical="center" shrinkToFit="1"/>
    </xf>
    <xf numFmtId="165" fontId="2" fillId="7" borderId="12" xfId="7" applyNumberFormat="1" applyFont="1" applyFill="1" applyBorder="1" applyAlignment="1">
      <alignment horizontal="center"/>
    </xf>
    <xf numFmtId="0" fontId="0" fillId="0" borderId="34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22" fillId="2" borderId="9" xfId="0" applyFont="1" applyFill="1" applyBorder="1" applyAlignment="1">
      <alignment horizontal="center" vertical="center"/>
    </xf>
    <xf numFmtId="1" fontId="24" fillId="2" borderId="9" xfId="0" applyNumberFormat="1" applyFont="1" applyFill="1" applyBorder="1" applyAlignment="1">
      <alignment horizontal="center" vertical="center" shrinkToFit="1"/>
    </xf>
    <xf numFmtId="165" fontId="22" fillId="2" borderId="9" xfId="7" applyNumberFormat="1" applyFont="1" applyFill="1" applyBorder="1" applyAlignment="1">
      <alignment horizontal="center" vertical="center"/>
    </xf>
    <xf numFmtId="165" fontId="22" fillId="2" borderId="24" xfId="7" applyNumberFormat="1" applyFont="1" applyFill="1" applyBorder="1" applyAlignment="1">
      <alignment horizontal="center" vertical="center"/>
    </xf>
    <xf numFmtId="0" fontId="28" fillId="5" borderId="20" xfId="0" applyFont="1" applyFill="1" applyBorder="1" applyAlignment="1">
      <alignment horizontal="center" vertical="center"/>
    </xf>
    <xf numFmtId="0" fontId="28" fillId="5" borderId="2" xfId="0" applyFont="1" applyFill="1" applyBorder="1" applyAlignment="1">
      <alignment horizontal="center" vertical="center" wrapText="1"/>
    </xf>
    <xf numFmtId="0" fontId="28" fillId="5" borderId="2" xfId="0" applyFont="1" applyFill="1" applyBorder="1" applyAlignment="1">
      <alignment horizontal="center" vertical="center"/>
    </xf>
    <xf numFmtId="0" fontId="22" fillId="2" borderId="2" xfId="15" applyFont="1" applyFill="1" applyBorder="1" applyAlignment="1">
      <alignment horizontal="left" vertical="center" wrapText="1"/>
    </xf>
    <xf numFmtId="0" fontId="24" fillId="0" borderId="2" xfId="15" applyFont="1" applyBorder="1" applyAlignment="1">
      <alignment horizontal="left" vertical="center" wrapText="1"/>
    </xf>
    <xf numFmtId="165" fontId="28" fillId="7" borderId="45" xfId="12" applyNumberFormat="1" applyFont="1" applyFill="1" applyBorder="1" applyAlignment="1">
      <alignment horizontal="center" vertical="center" wrapText="1"/>
    </xf>
    <xf numFmtId="1" fontId="24" fillId="0" borderId="34" xfId="12" applyNumberFormat="1" applyFont="1" applyBorder="1" applyAlignment="1">
      <alignment horizontal="center" vertical="center" shrinkToFit="1"/>
    </xf>
    <xf numFmtId="0" fontId="22" fillId="2" borderId="9" xfId="15" applyFont="1" applyFill="1" applyBorder="1" applyAlignment="1">
      <alignment horizontal="left" vertical="center" wrapText="1"/>
    </xf>
    <xf numFmtId="0" fontId="22" fillId="0" borderId="9" xfId="12" applyFont="1" applyBorder="1" applyAlignment="1">
      <alignment horizontal="center" vertical="center" wrapText="1"/>
    </xf>
    <xf numFmtId="1" fontId="24" fillId="0" borderId="9" xfId="12" applyNumberFormat="1" applyFont="1" applyBorder="1" applyAlignment="1">
      <alignment horizontal="center" vertical="center" shrinkToFit="1"/>
    </xf>
    <xf numFmtId="165" fontId="24" fillId="0" borderId="9" xfId="12" applyNumberFormat="1" applyFont="1" applyBorder="1" applyAlignment="1">
      <alignment horizontal="center" vertical="center" wrapText="1"/>
    </xf>
    <xf numFmtId="165" fontId="24" fillId="0" borderId="24" xfId="12" applyNumberFormat="1" applyFont="1" applyBorder="1" applyAlignment="1">
      <alignment horizontal="center" vertical="center" wrapText="1"/>
    </xf>
    <xf numFmtId="0" fontId="29" fillId="0" borderId="30" xfId="0" applyFont="1" applyBorder="1" applyAlignment="1">
      <alignment horizontal="left" vertical="center" wrapText="1"/>
    </xf>
    <xf numFmtId="0" fontId="30" fillId="0" borderId="49" xfId="0" applyFont="1" applyBorder="1" applyAlignment="1">
      <alignment horizontal="left" vertical="center" wrapText="1"/>
    </xf>
    <xf numFmtId="0" fontId="22" fillId="2" borderId="2" xfId="3" applyFont="1" applyFill="1" applyBorder="1" applyAlignment="1">
      <alignment horizontal="right" vertical="center" wrapText="1"/>
    </xf>
    <xf numFmtId="165" fontId="23" fillId="2" borderId="2" xfId="5" applyNumberFormat="1" applyFont="1" applyFill="1" applyBorder="1" applyAlignment="1">
      <alignment horizontal="center" vertical="center" wrapText="1"/>
    </xf>
    <xf numFmtId="165" fontId="23" fillId="2" borderId="19" xfId="5" applyNumberFormat="1" applyFont="1" applyFill="1" applyBorder="1" applyAlignment="1">
      <alignment horizontal="center" vertical="center" wrapText="1"/>
    </xf>
    <xf numFmtId="0" fontId="22" fillId="2" borderId="20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vertical="center"/>
    </xf>
    <xf numFmtId="165" fontId="23" fillId="2" borderId="2" xfId="0" applyNumberFormat="1" applyFont="1" applyFill="1" applyBorder="1" applyAlignment="1">
      <alignment horizontal="center" vertical="center"/>
    </xf>
    <xf numFmtId="165" fontId="23" fillId="2" borderId="19" xfId="0" applyNumberFormat="1" applyFont="1" applyFill="1" applyBorder="1" applyAlignment="1">
      <alignment horizontal="center" vertical="center"/>
    </xf>
    <xf numFmtId="164" fontId="31" fillId="2" borderId="2" xfId="2" applyNumberFormat="1" applyFont="1" applyFill="1" applyBorder="1" applyAlignment="1">
      <alignment vertical="center"/>
    </xf>
    <xf numFmtId="164" fontId="31" fillId="2" borderId="19" xfId="2" applyNumberFormat="1" applyFont="1" applyFill="1" applyBorder="1" applyAlignment="1">
      <alignment vertical="center"/>
    </xf>
    <xf numFmtId="165" fontId="23" fillId="2" borderId="2" xfId="2" applyNumberFormat="1" applyFont="1" applyFill="1" applyBorder="1" applyAlignment="1">
      <alignment horizontal="center" vertical="center"/>
    </xf>
    <xf numFmtId="165" fontId="22" fillId="2" borderId="2" xfId="0" quotePrefix="1" applyNumberFormat="1" applyFont="1" applyFill="1" applyBorder="1" applyAlignment="1">
      <alignment horizontal="center" vertical="center"/>
    </xf>
    <xf numFmtId="165" fontId="22" fillId="2" borderId="19" xfId="0" quotePrefix="1" applyNumberFormat="1" applyFont="1" applyFill="1" applyBorder="1" applyAlignment="1">
      <alignment horizontal="center" vertical="center"/>
    </xf>
    <xf numFmtId="164" fontId="31" fillId="2" borderId="2" xfId="2" applyNumberFormat="1" applyFont="1" applyFill="1" applyBorder="1" applyAlignment="1">
      <alignment horizontal="justify" vertical="center"/>
    </xf>
    <xf numFmtId="164" fontId="23" fillId="2" borderId="2" xfId="2" applyNumberFormat="1" applyFont="1" applyFill="1" applyBorder="1" applyAlignment="1">
      <alignment horizontal="justify" vertical="center"/>
    </xf>
    <xf numFmtId="0" fontId="22" fillId="2" borderId="2" xfId="5" applyFont="1" applyFill="1" applyBorder="1" applyAlignment="1">
      <alignment vertical="center" wrapText="1"/>
    </xf>
    <xf numFmtId="165" fontId="23" fillId="6" borderId="2" xfId="0" applyNumberFormat="1" applyFont="1" applyFill="1" applyBorder="1" applyAlignment="1">
      <alignment horizontal="center" vertical="center"/>
    </xf>
    <xf numFmtId="165" fontId="23" fillId="6" borderId="19" xfId="0" applyNumberFormat="1" applyFont="1" applyFill="1" applyBorder="1" applyAlignment="1">
      <alignment horizontal="center" vertical="center"/>
    </xf>
    <xf numFmtId="0" fontId="23" fillId="8" borderId="2" xfId="5" applyFont="1" applyFill="1" applyBorder="1" applyAlignment="1">
      <alignment vertical="center"/>
    </xf>
    <xf numFmtId="0" fontId="23" fillId="8" borderId="19" xfId="5" applyFont="1" applyFill="1" applyBorder="1" applyAlignment="1">
      <alignment vertical="center"/>
    </xf>
    <xf numFmtId="165" fontId="23" fillId="0" borderId="2" xfId="5" applyNumberFormat="1" applyFont="1" applyBorder="1" applyAlignment="1">
      <alignment horizontal="center" vertical="center" wrapText="1"/>
    </xf>
    <xf numFmtId="165" fontId="23" fillId="0" borderId="19" xfId="5" applyNumberFormat="1" applyFont="1" applyBorder="1" applyAlignment="1">
      <alignment horizontal="center" vertical="center" wrapText="1"/>
    </xf>
    <xf numFmtId="0" fontId="22" fillId="0" borderId="20" xfId="5" applyFont="1" applyBorder="1" applyAlignment="1">
      <alignment horizontal="center" vertical="center" wrapText="1"/>
    </xf>
    <xf numFmtId="0" fontId="22" fillId="0" borderId="2" xfId="5" applyFont="1" applyBorder="1" applyAlignment="1">
      <alignment vertical="center" wrapText="1"/>
    </xf>
    <xf numFmtId="10" fontId="22" fillId="0" borderId="2" xfId="2" applyNumberFormat="1" applyFont="1" applyFill="1" applyBorder="1" applyAlignment="1">
      <alignment horizontal="center" vertical="center"/>
    </xf>
    <xf numFmtId="165" fontId="22" fillId="0" borderId="2" xfId="0" applyNumberFormat="1" applyFont="1" applyBorder="1" applyAlignment="1">
      <alignment horizontal="center" vertical="center"/>
    </xf>
    <xf numFmtId="165" fontId="22" fillId="0" borderId="19" xfId="0" applyNumberFormat="1" applyFont="1" applyBorder="1" applyAlignment="1">
      <alignment horizontal="center" vertical="center"/>
    </xf>
    <xf numFmtId="10" fontId="23" fillId="5" borderId="2" xfId="0" applyNumberFormat="1" applyFont="1" applyFill="1" applyBorder="1" applyAlignment="1">
      <alignment horizontal="center" vertical="center" wrapText="1"/>
    </xf>
    <xf numFmtId="165" fontId="23" fillId="4" borderId="2" xfId="5" applyNumberFormat="1" applyFont="1" applyFill="1" applyBorder="1" applyAlignment="1">
      <alignment horizontal="center" vertical="center" wrapText="1"/>
    </xf>
    <xf numFmtId="165" fontId="23" fillId="4" borderId="19" xfId="5" applyNumberFormat="1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center"/>
    </xf>
    <xf numFmtId="10" fontId="0" fillId="0" borderId="2" xfId="0" applyNumberFormat="1" applyFont="1" applyBorder="1" applyAlignment="1">
      <alignment horizontal="center" vertical="center"/>
    </xf>
    <xf numFmtId="0" fontId="23" fillId="0" borderId="2" xfId="6" applyFont="1" applyFill="1" applyBorder="1" applyAlignment="1" applyProtection="1">
      <alignment horizontal="left" vertical="center"/>
    </xf>
    <xf numFmtId="0" fontId="23" fillId="0" borderId="2" xfId="0" applyFont="1" applyBorder="1" applyAlignment="1">
      <alignment horizontal="left" vertical="center"/>
    </xf>
    <xf numFmtId="10" fontId="23" fillId="5" borderId="2" xfId="2" applyNumberFormat="1" applyFont="1" applyFill="1" applyBorder="1" applyAlignment="1">
      <alignment horizontal="center" vertical="center"/>
    </xf>
    <xf numFmtId="0" fontId="23" fillId="4" borderId="2" xfId="5" applyFont="1" applyFill="1" applyBorder="1" applyAlignment="1">
      <alignment vertical="center"/>
    </xf>
    <xf numFmtId="0" fontId="23" fillId="4" borderId="19" xfId="5" applyFont="1" applyFill="1" applyBorder="1" applyAlignment="1">
      <alignment vertical="center"/>
    </xf>
    <xf numFmtId="0" fontId="2" fillId="4" borderId="20" xfId="5" applyFont="1" applyFill="1" applyBorder="1" applyAlignment="1">
      <alignment horizontal="center"/>
    </xf>
    <xf numFmtId="165" fontId="2" fillId="4" borderId="2" xfId="5" applyNumberFormat="1" applyFont="1" applyFill="1" applyBorder="1" applyAlignment="1">
      <alignment horizontal="center" vertical="center" wrapText="1"/>
    </xf>
    <xf numFmtId="165" fontId="2" fillId="4" borderId="19" xfId="5" applyNumberFormat="1" applyFont="1" applyFill="1" applyBorder="1" applyAlignment="1">
      <alignment horizontal="center" vertical="center" wrapText="1"/>
    </xf>
    <xf numFmtId="0" fontId="22" fillId="2" borderId="20" xfId="5" applyFont="1" applyFill="1" applyBorder="1" applyAlignment="1">
      <alignment horizontal="center" vertical="center"/>
    </xf>
    <xf numFmtId="0" fontId="22" fillId="2" borderId="2" xfId="5" applyFont="1" applyFill="1" applyBorder="1" applyAlignment="1">
      <alignment vertical="center"/>
    </xf>
    <xf numFmtId="165" fontId="22" fillId="2" borderId="2" xfId="5" applyNumberFormat="1" applyFont="1" applyFill="1" applyBorder="1" applyAlignment="1">
      <alignment horizontal="center" vertical="center"/>
    </xf>
    <xf numFmtId="165" fontId="23" fillId="2" borderId="2" xfId="5" applyNumberFormat="1" applyFont="1" applyFill="1" applyBorder="1" applyAlignment="1">
      <alignment horizontal="center" vertical="center"/>
    </xf>
    <xf numFmtId="165" fontId="23" fillId="2" borderId="19" xfId="5" applyNumberFormat="1" applyFont="1" applyFill="1" applyBorder="1" applyAlignment="1">
      <alignment horizontal="center" vertical="center"/>
    </xf>
    <xf numFmtId="0" fontId="22" fillId="2" borderId="20" xfId="5" applyFont="1" applyFill="1" applyBorder="1" applyAlignment="1">
      <alignment horizontal="center" vertical="center" wrapText="1"/>
    </xf>
    <xf numFmtId="165" fontId="22" fillId="2" borderId="2" xfId="2" applyNumberFormat="1" applyFont="1" applyFill="1" applyBorder="1" applyAlignment="1">
      <alignment horizontal="center" vertical="center"/>
    </xf>
    <xf numFmtId="165" fontId="22" fillId="2" borderId="19" xfId="0" applyNumberFormat="1" applyFont="1" applyFill="1" applyBorder="1" applyAlignment="1">
      <alignment horizontal="center" vertical="center"/>
    </xf>
    <xf numFmtId="165" fontId="22" fillId="0" borderId="2" xfId="2" applyNumberFormat="1" applyFont="1" applyFill="1" applyBorder="1" applyAlignment="1">
      <alignment horizontal="center" vertical="center"/>
    </xf>
    <xf numFmtId="165" fontId="22" fillId="0" borderId="2" xfId="0" quotePrefix="1" applyNumberFormat="1" applyFont="1" applyBorder="1" applyAlignment="1">
      <alignment horizontal="center" vertical="center"/>
    </xf>
    <xf numFmtId="165" fontId="22" fillId="0" borderId="19" xfId="0" quotePrefix="1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0" fontId="22" fillId="0" borderId="2" xfId="0" applyFont="1" applyBorder="1" applyAlignment="1">
      <alignment horizontal="left" vertical="center" wrapText="1"/>
    </xf>
    <xf numFmtId="0" fontId="22" fillId="0" borderId="2" xfId="0" applyFont="1" applyBorder="1" applyAlignment="1">
      <alignment vertical="center"/>
    </xf>
    <xf numFmtId="10" fontId="23" fillId="2" borderId="2" xfId="2" applyNumberFormat="1" applyFont="1" applyFill="1" applyBorder="1" applyAlignment="1">
      <alignment vertical="center"/>
    </xf>
    <xf numFmtId="10" fontId="23" fillId="5" borderId="2" xfId="5" applyNumberFormat="1" applyFont="1" applyFill="1" applyBorder="1" applyAlignment="1">
      <alignment horizontal="center" vertical="center" wrapText="1"/>
    </xf>
    <xf numFmtId="0" fontId="23" fillId="0" borderId="2" xfId="0" applyFont="1" applyBorder="1" applyAlignment="1">
      <alignment vertical="center"/>
    </xf>
    <xf numFmtId="0" fontId="23" fillId="0" borderId="19" xfId="0" applyFont="1" applyBorder="1" applyAlignment="1">
      <alignment vertical="center"/>
    </xf>
    <xf numFmtId="165" fontId="23" fillId="4" borderId="2" xfId="0" applyNumberFormat="1" applyFont="1" applyFill="1" applyBorder="1" applyAlignment="1">
      <alignment horizontal="center" vertical="center"/>
    </xf>
    <xf numFmtId="165" fontId="23" fillId="4" borderId="19" xfId="0" applyNumberFormat="1" applyFont="1" applyFill="1" applyBorder="1" applyAlignment="1">
      <alignment horizontal="center" vertical="center"/>
    </xf>
    <xf numFmtId="10" fontId="22" fillId="2" borderId="2" xfId="2" applyNumberFormat="1" applyFont="1" applyFill="1" applyBorder="1" applyAlignment="1">
      <alignment horizontal="center" vertical="center"/>
    </xf>
    <xf numFmtId="165" fontId="22" fillId="0" borderId="2" xfId="1" applyNumberFormat="1" applyFont="1" applyFill="1" applyBorder="1" applyAlignment="1">
      <alignment horizontal="center" vertical="center"/>
    </xf>
    <xf numFmtId="165" fontId="22" fillId="0" borderId="19" xfId="1" applyNumberFormat="1" applyFont="1" applyFill="1" applyBorder="1" applyAlignment="1">
      <alignment horizontal="center" vertical="center"/>
    </xf>
    <xf numFmtId="10" fontId="22" fillId="0" borderId="2" xfId="0" applyNumberFormat="1" applyFont="1" applyBorder="1" applyAlignment="1">
      <alignment horizontal="center" vertical="center"/>
    </xf>
    <xf numFmtId="10" fontId="23" fillId="0" borderId="2" xfId="0" applyNumberFormat="1" applyFont="1" applyBorder="1" applyAlignment="1">
      <alignment horizontal="center" vertical="center"/>
    </xf>
    <xf numFmtId="165" fontId="23" fillId="0" borderId="2" xfId="0" applyNumberFormat="1" applyFont="1" applyBorder="1" applyAlignment="1">
      <alignment horizontal="center" vertical="center"/>
    </xf>
    <xf numFmtId="165" fontId="23" fillId="0" borderId="19" xfId="0" applyNumberFormat="1" applyFont="1" applyBorder="1" applyAlignment="1">
      <alignment horizontal="center" vertical="center"/>
    </xf>
    <xf numFmtId="165" fontId="23" fillId="9" borderId="2" xfId="5" applyNumberFormat="1" applyFont="1" applyFill="1" applyBorder="1" applyAlignment="1">
      <alignment horizontal="center" vertical="center" wrapText="1"/>
    </xf>
    <xf numFmtId="165" fontId="23" fillId="9" borderId="19" xfId="5" applyNumberFormat="1" applyFont="1" applyFill="1" applyBorder="1" applyAlignment="1">
      <alignment horizontal="center" vertical="center" wrapText="1"/>
    </xf>
    <xf numFmtId="165" fontId="23" fillId="5" borderId="9" xfId="0" applyNumberFormat="1" applyFont="1" applyFill="1" applyBorder="1" applyAlignment="1">
      <alignment horizontal="center" vertical="center"/>
    </xf>
    <xf numFmtId="165" fontId="23" fillId="5" borderId="24" xfId="0" applyNumberFormat="1" applyFont="1" applyFill="1" applyBorder="1" applyAlignment="1">
      <alignment horizontal="center" vertical="center"/>
    </xf>
    <xf numFmtId="165" fontId="31" fillId="2" borderId="2" xfId="2" applyNumberFormat="1" applyFont="1" applyFill="1" applyBorder="1" applyAlignment="1">
      <alignment horizontal="justify" vertical="center"/>
    </xf>
    <xf numFmtId="165" fontId="31" fillId="2" borderId="19" xfId="2" applyNumberFormat="1" applyFont="1" applyFill="1" applyBorder="1" applyAlignment="1">
      <alignment horizontal="justify" vertical="center"/>
    </xf>
    <xf numFmtId="165" fontId="22" fillId="2" borderId="19" xfId="2" applyNumberFormat="1" applyFont="1" applyFill="1" applyBorder="1" applyAlignment="1">
      <alignment horizontal="center" vertical="center"/>
    </xf>
    <xf numFmtId="165" fontId="23" fillId="2" borderId="2" xfId="2" applyNumberFormat="1" applyFont="1" applyFill="1" applyBorder="1" applyAlignment="1">
      <alignment horizontal="justify" vertical="center"/>
    </xf>
    <xf numFmtId="165" fontId="23" fillId="2" borderId="19" xfId="2" applyNumberFormat="1" applyFont="1" applyFill="1" applyBorder="1" applyAlignment="1">
      <alignment horizontal="justify" vertical="center"/>
    </xf>
    <xf numFmtId="165" fontId="23" fillId="6" borderId="2" xfId="5" applyNumberFormat="1" applyFont="1" applyFill="1" applyBorder="1" applyAlignment="1">
      <alignment horizontal="center" vertical="center" wrapText="1"/>
    </xf>
    <xf numFmtId="165" fontId="23" fillId="6" borderId="19" xfId="5" applyNumberFormat="1" applyFont="1" applyFill="1" applyBorder="1" applyAlignment="1">
      <alignment horizontal="center" vertical="center" wrapText="1"/>
    </xf>
    <xf numFmtId="165" fontId="22" fillId="0" borderId="19" xfId="2" applyNumberFormat="1" applyFont="1" applyFill="1" applyBorder="1" applyAlignment="1">
      <alignment horizontal="center" vertical="center"/>
    </xf>
    <xf numFmtId="165" fontId="23" fillId="5" borderId="2" xfId="0" applyNumberFormat="1" applyFont="1" applyFill="1" applyBorder="1" applyAlignment="1">
      <alignment horizontal="center" vertical="center" wrapText="1"/>
    </xf>
    <xf numFmtId="165" fontId="23" fillId="5" borderId="19" xfId="0" applyNumberFormat="1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left" vertical="center" wrapText="1"/>
    </xf>
    <xf numFmtId="165" fontId="23" fillId="5" borderId="2" xfId="2" applyNumberFormat="1" applyFont="1" applyFill="1" applyBorder="1" applyAlignment="1">
      <alignment horizontal="center" vertical="center"/>
    </xf>
    <xf numFmtId="165" fontId="23" fillId="5" borderId="19" xfId="2" applyNumberFormat="1" applyFont="1" applyFill="1" applyBorder="1" applyAlignment="1">
      <alignment horizontal="center" vertical="center"/>
    </xf>
    <xf numFmtId="0" fontId="0" fillId="4" borderId="19" xfId="0" applyFont="1" applyFill="1" applyBorder="1" applyAlignment="1">
      <alignment horizontal="left" vertical="center" wrapText="1"/>
    </xf>
    <xf numFmtId="164" fontId="23" fillId="0" borderId="2" xfId="2" applyNumberFormat="1" applyFont="1" applyFill="1" applyBorder="1" applyAlignment="1">
      <alignment horizontal="center" vertical="center"/>
    </xf>
    <xf numFmtId="165" fontId="23" fillId="5" borderId="2" xfId="5" applyNumberFormat="1" applyFont="1" applyFill="1" applyBorder="1" applyAlignment="1">
      <alignment horizontal="center" vertical="center" wrapText="1"/>
    </xf>
    <xf numFmtId="165" fontId="23" fillId="5" borderId="19" xfId="5" applyNumberFormat="1" applyFont="1" applyFill="1" applyBorder="1" applyAlignment="1">
      <alignment horizontal="center" vertical="center" wrapText="1"/>
    </xf>
    <xf numFmtId="0" fontId="22" fillId="0" borderId="2" xfId="0" applyFont="1" applyBorder="1" applyAlignment="1">
      <alignment vertical="center" wrapText="1"/>
    </xf>
    <xf numFmtId="165" fontId="23" fillId="2" borderId="2" xfId="0" applyNumberFormat="1" applyFont="1" applyFill="1" applyBorder="1" applyAlignment="1">
      <alignment horizontal="right" vertical="center"/>
    </xf>
    <xf numFmtId="165" fontId="23" fillId="2" borderId="19" xfId="0" applyNumberFormat="1" applyFont="1" applyFill="1" applyBorder="1" applyAlignment="1">
      <alignment horizontal="right" vertical="center"/>
    </xf>
    <xf numFmtId="10" fontId="23" fillId="2" borderId="2" xfId="2" applyNumberFormat="1" applyFont="1" applyFill="1" applyBorder="1" applyAlignment="1">
      <alignment horizontal="center" vertical="center"/>
    </xf>
    <xf numFmtId="0" fontId="23" fillId="2" borderId="2" xfId="5" applyFont="1" applyFill="1" applyBorder="1" applyAlignment="1">
      <alignment vertical="center"/>
    </xf>
    <xf numFmtId="0" fontId="23" fillId="2" borderId="19" xfId="5" applyFont="1" applyFill="1" applyBorder="1" applyAlignment="1">
      <alignment vertical="center"/>
    </xf>
    <xf numFmtId="0" fontId="23" fillId="4" borderId="2" xfId="5" applyFont="1" applyFill="1" applyBorder="1" applyAlignment="1">
      <alignment vertical="center" wrapText="1"/>
    </xf>
    <xf numFmtId="0" fontId="23" fillId="4" borderId="19" xfId="5" applyFont="1" applyFill="1" applyBorder="1" applyAlignment="1">
      <alignment vertical="center" wrapText="1"/>
    </xf>
    <xf numFmtId="165" fontId="22" fillId="0" borderId="2" xfId="5" applyNumberFormat="1" applyFont="1" applyBorder="1" applyAlignment="1">
      <alignment horizontal="center" vertical="center" wrapText="1"/>
    </xf>
    <xf numFmtId="165" fontId="22" fillId="0" borderId="19" xfId="5" applyNumberFormat="1" applyFont="1" applyBorder="1" applyAlignment="1">
      <alignment horizontal="center" vertical="center" wrapText="1"/>
    </xf>
    <xf numFmtId="165" fontId="23" fillId="3" borderId="2" xfId="5" applyNumberFormat="1" applyFont="1" applyFill="1" applyBorder="1" applyAlignment="1">
      <alignment horizontal="center" vertical="center" wrapText="1"/>
    </xf>
    <xf numFmtId="165" fontId="23" fillId="3" borderId="19" xfId="5" applyNumberFormat="1" applyFont="1" applyFill="1" applyBorder="1" applyAlignment="1">
      <alignment horizontal="center" vertical="center" wrapText="1"/>
    </xf>
    <xf numFmtId="165" fontId="23" fillId="5" borderId="9" xfId="5" applyNumberFormat="1" applyFont="1" applyFill="1" applyBorder="1" applyAlignment="1">
      <alignment horizontal="center" vertical="center" wrapText="1"/>
    </xf>
    <xf numFmtId="165" fontId="23" fillId="5" borderId="24" xfId="5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0" fontId="22" fillId="0" borderId="2" xfId="5" applyNumberFormat="1" applyFont="1" applyBorder="1" applyAlignment="1">
      <alignment horizontal="center" vertical="center" wrapText="1"/>
    </xf>
    <xf numFmtId="0" fontId="2" fillId="4" borderId="2" xfId="5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vertical="center"/>
    </xf>
    <xf numFmtId="2" fontId="22" fillId="2" borderId="2" xfId="5" applyNumberFormat="1" applyFont="1" applyFill="1" applyBorder="1" applyAlignment="1">
      <alignment horizontal="center" vertical="center"/>
    </xf>
    <xf numFmtId="4" fontId="23" fillId="2" borderId="2" xfId="0" applyNumberFormat="1" applyFont="1" applyFill="1" applyBorder="1" applyAlignment="1">
      <alignment horizontal="center" vertical="center"/>
    </xf>
    <xf numFmtId="4" fontId="22" fillId="2" borderId="2" xfId="0" applyNumberFormat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center"/>
    </xf>
    <xf numFmtId="0" fontId="23" fillId="2" borderId="0" xfId="0" applyFont="1" applyFill="1" applyBorder="1" applyAlignment="1">
      <alignment horizontal="center" vertical="top" wrapText="1"/>
    </xf>
    <xf numFmtId="0" fontId="23" fillId="5" borderId="4" xfId="0" applyFont="1" applyFill="1" applyBorder="1" applyAlignment="1">
      <alignment horizontal="center" vertical="center" wrapText="1"/>
    </xf>
    <xf numFmtId="0" fontId="23" fillId="5" borderId="28" xfId="0" applyFont="1" applyFill="1" applyBorder="1" applyAlignment="1">
      <alignment horizontal="center" vertical="center" wrapText="1"/>
    </xf>
    <xf numFmtId="0" fontId="23" fillId="5" borderId="6" xfId="0" applyFont="1" applyFill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/>
    </xf>
    <xf numFmtId="0" fontId="22" fillId="0" borderId="49" xfId="0" applyFont="1" applyBorder="1" applyAlignment="1">
      <alignment horizontal="center" vertical="center"/>
    </xf>
    <xf numFmtId="1" fontId="24" fillId="0" borderId="49" xfId="0" applyNumberFormat="1" applyFont="1" applyBorder="1" applyAlignment="1">
      <alignment horizontal="center" vertical="center" shrinkToFit="1"/>
    </xf>
    <xf numFmtId="165" fontId="22" fillId="0" borderId="49" xfId="7" applyNumberFormat="1" applyFont="1" applyBorder="1" applyAlignment="1">
      <alignment horizontal="center" vertical="center"/>
    </xf>
    <xf numFmtId="165" fontId="22" fillId="0" borderId="50" xfId="7" applyNumberFormat="1" applyFont="1" applyBorder="1" applyAlignment="1">
      <alignment horizontal="center" vertical="center"/>
    </xf>
    <xf numFmtId="0" fontId="22" fillId="0" borderId="46" xfId="0" applyFont="1" applyBorder="1" applyAlignment="1">
      <alignment horizontal="center" vertical="center"/>
    </xf>
    <xf numFmtId="0" fontId="22" fillId="0" borderId="47" xfId="0" applyFont="1" applyBorder="1" applyAlignment="1">
      <alignment horizontal="left" vertical="center" wrapText="1"/>
    </xf>
    <xf numFmtId="0" fontId="22" fillId="0" borderId="47" xfId="0" applyFont="1" applyBorder="1" applyAlignment="1">
      <alignment horizontal="center" vertical="center"/>
    </xf>
    <xf numFmtId="0" fontId="24" fillId="0" borderId="47" xfId="0" applyNumberFormat="1" applyFont="1" applyBorder="1" applyAlignment="1">
      <alignment horizontal="center" vertical="center" shrinkToFit="1"/>
    </xf>
    <xf numFmtId="165" fontId="22" fillId="0" borderId="47" xfId="7" applyNumberFormat="1" applyFont="1" applyBorder="1" applyAlignment="1">
      <alignment horizontal="center" vertical="center"/>
    </xf>
    <xf numFmtId="165" fontId="22" fillId="0" borderId="48" xfId="7" applyNumberFormat="1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center" vertical="center"/>
    </xf>
    <xf numFmtId="0" fontId="24" fillId="0" borderId="3" xfId="0" applyNumberFormat="1" applyFont="1" applyBorder="1" applyAlignment="1">
      <alignment horizontal="center" vertical="center" shrinkToFit="1"/>
    </xf>
    <xf numFmtId="165" fontId="22" fillId="0" borderId="3" xfId="7" applyNumberFormat="1" applyFont="1" applyBorder="1" applyAlignment="1">
      <alignment horizontal="center" vertical="center"/>
    </xf>
    <xf numFmtId="165" fontId="23" fillId="7" borderId="13" xfId="7" applyNumberFormat="1" applyFont="1" applyFill="1" applyBorder="1" applyAlignment="1">
      <alignment horizontal="center" vertical="center"/>
    </xf>
    <xf numFmtId="0" fontId="23" fillId="5" borderId="39" xfId="0" applyFont="1" applyFill="1" applyBorder="1" applyAlignment="1">
      <alignment horizontal="center" vertical="center" wrapText="1"/>
    </xf>
    <xf numFmtId="0" fontId="23" fillId="5" borderId="41" xfId="0" applyFont="1" applyFill="1" applyBorder="1" applyAlignment="1">
      <alignment horizontal="center" vertical="center" wrapText="1"/>
    </xf>
    <xf numFmtId="0" fontId="23" fillId="5" borderId="42" xfId="0" applyFont="1" applyFill="1" applyBorder="1" applyAlignment="1">
      <alignment horizontal="center" vertical="center" wrapText="1"/>
    </xf>
    <xf numFmtId="0" fontId="22" fillId="2" borderId="33" xfId="0" applyFont="1" applyFill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/>
    </xf>
    <xf numFmtId="1" fontId="24" fillId="0" borderId="30" xfId="0" applyNumberFormat="1" applyFont="1" applyBorder="1" applyAlignment="1">
      <alignment horizontal="center" vertical="center" shrinkToFit="1"/>
    </xf>
    <xf numFmtId="165" fontId="22" fillId="0" borderId="30" xfId="7" applyNumberFormat="1" applyFont="1" applyBorder="1" applyAlignment="1">
      <alignment horizontal="center" vertical="center"/>
    </xf>
    <xf numFmtId="165" fontId="22" fillId="0" borderId="32" xfId="7" applyNumberFormat="1" applyFont="1" applyBorder="1" applyAlignment="1">
      <alignment horizontal="center" vertical="center"/>
    </xf>
    <xf numFmtId="165" fontId="22" fillId="0" borderId="23" xfId="7" applyNumberFormat="1" applyFont="1" applyBorder="1" applyAlignment="1">
      <alignment horizontal="center" vertical="center"/>
    </xf>
    <xf numFmtId="165" fontId="22" fillId="2" borderId="19" xfId="5" applyNumberFormat="1" applyFont="1" applyFill="1" applyBorder="1" applyAlignment="1">
      <alignment horizontal="center" vertical="center"/>
    </xf>
    <xf numFmtId="0" fontId="23" fillId="4" borderId="19" xfId="0" applyFont="1" applyFill="1" applyBorder="1" applyAlignment="1">
      <alignment vertical="center"/>
    </xf>
    <xf numFmtId="4" fontId="22" fillId="2" borderId="19" xfId="0" applyNumberFormat="1" applyFont="1" applyFill="1" applyBorder="1" applyAlignment="1">
      <alignment horizontal="center" vertical="center"/>
    </xf>
    <xf numFmtId="0" fontId="22" fillId="2" borderId="2" xfId="4" applyFont="1" applyFill="1" applyBorder="1" applyAlignment="1">
      <alignment horizontal="justify" vertical="center" wrapText="1"/>
    </xf>
    <xf numFmtId="0" fontId="22" fillId="2" borderId="2" xfId="0" applyFont="1" applyFill="1" applyBorder="1" applyAlignment="1">
      <alignment horizontal="justify" vertical="center"/>
    </xf>
    <xf numFmtId="0" fontId="22" fillId="2" borderId="2" xfId="5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  <xf numFmtId="0" fontId="23" fillId="4" borderId="20" xfId="5" applyFont="1" applyFill="1" applyBorder="1" applyAlignment="1">
      <alignment horizontal="center" vertical="center" wrapText="1"/>
    </xf>
    <xf numFmtId="0" fontId="23" fillId="4" borderId="2" xfId="5" applyFont="1" applyFill="1" applyBorder="1" applyAlignment="1">
      <alignment horizontal="center" vertical="center" wrapText="1"/>
    </xf>
    <xf numFmtId="0" fontId="23" fillId="4" borderId="2" xfId="5" applyFont="1" applyFill="1" applyBorder="1" applyAlignment="1">
      <alignment horizontal="center" vertical="center"/>
    </xf>
    <xf numFmtId="0" fontId="22" fillId="4" borderId="2" xfId="0" applyFont="1" applyFill="1" applyBorder="1" applyAlignment="1">
      <alignment horizontal="left" vertical="center" wrapText="1"/>
    </xf>
    <xf numFmtId="0" fontId="23" fillId="3" borderId="2" xfId="5" applyFont="1" applyFill="1" applyBorder="1" applyAlignment="1">
      <alignment horizontal="center" vertical="center" wrapText="1"/>
    </xf>
    <xf numFmtId="0" fontId="22" fillId="0" borderId="2" xfId="5" applyFont="1" applyBorder="1" applyAlignment="1">
      <alignment horizontal="left" vertical="center" wrapText="1"/>
    </xf>
    <xf numFmtId="0" fontId="23" fillId="0" borderId="20" xfId="5" applyFont="1" applyBorder="1" applyAlignment="1">
      <alignment horizontal="center" vertical="center" wrapText="1"/>
    </xf>
    <xf numFmtId="0" fontId="0" fillId="4" borderId="2" xfId="0" applyFont="1" applyFill="1" applyBorder="1" applyAlignment="1">
      <alignment horizontal="left" vertical="center" wrapText="1"/>
    </xf>
    <xf numFmtId="0" fontId="23" fillId="2" borderId="20" xfId="5" applyFont="1" applyFill="1" applyBorder="1" applyAlignment="1">
      <alignment horizontal="center" vertical="center" wrapText="1"/>
    </xf>
    <xf numFmtId="0" fontId="23" fillId="2" borderId="2" xfId="5" applyFont="1" applyFill="1" applyBorder="1" applyAlignment="1">
      <alignment horizontal="center" vertical="center" wrapText="1"/>
    </xf>
    <xf numFmtId="4" fontId="23" fillId="2" borderId="19" xfId="5" applyNumberFormat="1" applyFont="1" applyFill="1" applyBorder="1" applyAlignment="1">
      <alignment horizontal="center" vertical="center" wrapText="1"/>
    </xf>
    <xf numFmtId="0" fontId="23" fillId="8" borderId="2" xfId="5" applyFont="1" applyFill="1" applyBorder="1" applyAlignment="1">
      <alignment horizontal="center" vertical="center"/>
    </xf>
    <xf numFmtId="0" fontId="23" fillId="8" borderId="19" xfId="5" applyFont="1" applyFill="1" applyBorder="1" applyAlignment="1">
      <alignment horizontal="center" vertical="center"/>
    </xf>
    <xf numFmtId="0" fontId="23" fillId="4" borderId="19" xfId="5" applyFont="1" applyFill="1" applyBorder="1" applyAlignment="1">
      <alignment horizontal="center" vertical="center"/>
    </xf>
    <xf numFmtId="10" fontId="23" fillId="6" borderId="2" xfId="5" applyNumberFormat="1" applyFont="1" applyFill="1" applyBorder="1" applyAlignment="1">
      <alignment horizontal="center" vertical="center" wrapText="1"/>
    </xf>
    <xf numFmtId="4" fontId="23" fillId="2" borderId="19" xfId="0" applyNumberFormat="1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 wrapText="1"/>
    </xf>
    <xf numFmtId="0" fontId="22" fillId="2" borderId="22" xfId="0" applyFont="1" applyFill="1" applyBorder="1" applyAlignment="1">
      <alignment horizontal="center" vertical="center"/>
    </xf>
    <xf numFmtId="0" fontId="22" fillId="2" borderId="3" xfId="3" applyFont="1" applyFill="1" applyBorder="1" applyAlignment="1">
      <alignment horizontal="right" vertical="center" wrapText="1"/>
    </xf>
    <xf numFmtId="0" fontId="22" fillId="2" borderId="33" xfId="0" applyFont="1" applyFill="1" applyBorder="1" applyAlignment="1">
      <alignment horizontal="center" vertical="center"/>
    </xf>
    <xf numFmtId="0" fontId="22" fillId="2" borderId="30" xfId="3" applyFont="1" applyFill="1" applyBorder="1" applyAlignment="1">
      <alignment horizontal="right" vertical="center" wrapText="1"/>
    </xf>
    <xf numFmtId="0" fontId="23" fillId="8" borderId="2" xfId="5" applyFont="1" applyFill="1" applyBorder="1" applyAlignment="1">
      <alignment horizontal="center" vertical="center" wrapText="1"/>
    </xf>
    <xf numFmtId="0" fontId="22" fillId="2" borderId="30" xfId="0" applyFont="1" applyFill="1" applyBorder="1" applyAlignment="1">
      <alignment horizontal="center" vertical="center"/>
    </xf>
    <xf numFmtId="165" fontId="22" fillId="2" borderId="30" xfId="0" applyNumberFormat="1" applyFont="1" applyFill="1" applyBorder="1" applyAlignment="1">
      <alignment horizontal="center" vertical="center"/>
    </xf>
    <xf numFmtId="0" fontId="22" fillId="2" borderId="30" xfId="0" applyFont="1" applyFill="1" applyBorder="1" applyAlignment="1">
      <alignment horizontal="center" vertical="center" wrapText="1"/>
    </xf>
    <xf numFmtId="165" fontId="22" fillId="2" borderId="32" xfId="0" applyNumberFormat="1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/>
    </xf>
    <xf numFmtId="165" fontId="22" fillId="2" borderId="2" xfId="0" applyNumberFormat="1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/>
    </xf>
    <xf numFmtId="165" fontId="22" fillId="2" borderId="9" xfId="0" applyNumberFormat="1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wrapText="1"/>
    </xf>
    <xf numFmtId="165" fontId="22" fillId="2" borderId="9" xfId="0" applyNumberFormat="1" applyFont="1" applyFill="1" applyBorder="1" applyAlignment="1">
      <alignment horizontal="center" vertical="center"/>
    </xf>
    <xf numFmtId="165" fontId="22" fillId="2" borderId="24" xfId="0" applyNumberFormat="1" applyFont="1" applyFill="1" applyBorder="1" applyAlignment="1">
      <alignment horizontal="center" vertical="center"/>
    </xf>
    <xf numFmtId="165" fontId="22" fillId="2" borderId="30" xfId="0" applyNumberFormat="1" applyFont="1" applyFill="1" applyBorder="1" applyAlignment="1">
      <alignment horizontal="center" vertical="center" wrapText="1"/>
    </xf>
    <xf numFmtId="165" fontId="22" fillId="10" borderId="2" xfId="0" applyNumberFormat="1" applyFont="1" applyFill="1" applyBorder="1" applyAlignment="1">
      <alignment horizontal="center" vertical="center"/>
    </xf>
    <xf numFmtId="165" fontId="22" fillId="10" borderId="19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justify"/>
    </xf>
    <xf numFmtId="0" fontId="7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13" fillId="0" borderId="0" xfId="0" applyFont="1" applyAlignment="1">
      <alignment horizontal="justify" wrapText="1"/>
    </xf>
    <xf numFmtId="0" fontId="17" fillId="0" borderId="13" xfId="0" applyFont="1" applyBorder="1" applyAlignment="1">
      <alignment horizontal="center" vertical="center" wrapText="1"/>
    </xf>
    <xf numFmtId="0" fontId="24" fillId="0" borderId="37" xfId="12" applyFont="1" applyBorder="1" applyAlignment="1">
      <alignment horizontal="center" vertical="top"/>
    </xf>
    <xf numFmtId="0" fontId="24" fillId="0" borderId="0" xfId="12" applyFont="1" applyBorder="1" applyAlignment="1">
      <alignment horizontal="center" vertical="top"/>
    </xf>
    <xf numFmtId="0" fontId="24" fillId="0" borderId="38" xfId="12" applyFont="1" applyBorder="1" applyAlignment="1">
      <alignment horizontal="center" vertical="top"/>
    </xf>
    <xf numFmtId="0" fontId="23" fillId="7" borderId="33" xfId="12" applyFont="1" applyFill="1" applyBorder="1" applyAlignment="1">
      <alignment horizontal="center" vertical="center" wrapText="1"/>
    </xf>
    <xf numFmtId="0" fontId="23" fillId="7" borderId="30" xfId="12" applyFont="1" applyFill="1" applyBorder="1" applyAlignment="1">
      <alignment horizontal="center" vertical="center" wrapText="1"/>
    </xf>
    <xf numFmtId="0" fontId="23" fillId="7" borderId="32" xfId="12" applyFont="1" applyFill="1" applyBorder="1" applyAlignment="1">
      <alignment horizontal="center" vertical="center" wrapText="1"/>
    </xf>
    <xf numFmtId="0" fontId="23" fillId="5" borderId="40" xfId="12" applyFont="1" applyFill="1" applyBorder="1" applyAlignment="1">
      <alignment horizontal="center" vertical="center" wrapText="1"/>
    </xf>
    <xf numFmtId="0" fontId="23" fillId="5" borderId="43" xfId="12" applyFont="1" applyFill="1" applyBorder="1" applyAlignment="1">
      <alignment horizontal="center" vertical="center" wrapText="1"/>
    </xf>
    <xf numFmtId="0" fontId="23" fillId="5" borderId="7" xfId="12" applyFont="1" applyFill="1" applyBorder="1" applyAlignment="1">
      <alignment horizontal="center" vertical="center" wrapText="1"/>
    </xf>
    <xf numFmtId="0" fontId="23" fillId="5" borderId="5" xfId="12" applyFont="1" applyFill="1" applyBorder="1" applyAlignment="1">
      <alignment horizontal="center" vertical="center" wrapText="1"/>
    </xf>
    <xf numFmtId="0" fontId="23" fillId="2" borderId="39" xfId="0" applyFont="1" applyFill="1" applyBorder="1" applyAlignment="1">
      <alignment horizontal="center" vertical="center"/>
    </xf>
    <xf numFmtId="0" fontId="23" fillId="2" borderId="29" xfId="0" applyFont="1" applyFill="1" applyBorder="1" applyAlignment="1">
      <alignment horizontal="center" vertical="center"/>
    </xf>
    <xf numFmtId="0" fontId="23" fillId="2" borderId="40" xfId="0" applyFont="1" applyFill="1" applyBorder="1" applyAlignment="1">
      <alignment horizontal="center" vertical="center"/>
    </xf>
    <xf numFmtId="0" fontId="23" fillId="2" borderId="33" xfId="0" applyFont="1" applyFill="1" applyBorder="1" applyAlignment="1">
      <alignment horizontal="center" vertical="center"/>
    </xf>
    <xf numFmtId="0" fontId="23" fillId="2" borderId="20" xfId="0" applyFont="1" applyFill="1" applyBorder="1" applyAlignment="1">
      <alignment horizontal="center" vertical="center"/>
    </xf>
    <xf numFmtId="0" fontId="23" fillId="2" borderId="34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5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3" fillId="7" borderId="25" xfId="0" applyFont="1" applyFill="1" applyBorder="1" applyAlignment="1">
      <alignment horizontal="center" vertical="center"/>
    </xf>
    <xf numFmtId="0" fontId="23" fillId="7" borderId="26" xfId="0" applyFont="1" applyFill="1" applyBorder="1" applyAlignment="1">
      <alignment horizontal="center" vertical="center"/>
    </xf>
    <xf numFmtId="0" fontId="23" fillId="7" borderId="27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23" fillId="2" borderId="20" xfId="3" applyFont="1" applyFill="1" applyBorder="1" applyAlignment="1">
      <alignment horizontal="center" vertical="center"/>
    </xf>
    <xf numFmtId="0" fontId="23" fillId="2" borderId="2" xfId="3" applyFont="1" applyFill="1" applyBorder="1" applyAlignment="1">
      <alignment horizontal="center" vertical="center"/>
    </xf>
    <xf numFmtId="0" fontId="23" fillId="2" borderId="19" xfId="3" applyFont="1" applyFill="1" applyBorder="1" applyAlignment="1">
      <alignment horizontal="center" vertical="center"/>
    </xf>
    <xf numFmtId="0" fontId="23" fillId="2" borderId="20" xfId="5" applyFont="1" applyFill="1" applyBorder="1" applyAlignment="1">
      <alignment horizontal="center" vertical="center" wrapText="1"/>
    </xf>
    <xf numFmtId="0" fontId="23" fillId="2" borderId="2" xfId="5" applyFont="1" applyFill="1" applyBorder="1" applyAlignment="1">
      <alignment horizontal="center" vertical="center" wrapText="1"/>
    </xf>
    <xf numFmtId="0" fontId="23" fillId="2" borderId="19" xfId="5" applyFont="1" applyFill="1" applyBorder="1" applyAlignment="1">
      <alignment horizontal="center" vertical="center" wrapText="1"/>
    </xf>
    <xf numFmtId="0" fontId="23" fillId="6" borderId="33" xfId="0" applyFont="1" applyFill="1" applyBorder="1" applyAlignment="1">
      <alignment horizontal="center" vertical="center"/>
    </xf>
    <xf numFmtId="0" fontId="23" fillId="6" borderId="30" xfId="0" applyFont="1" applyFill="1" applyBorder="1" applyAlignment="1">
      <alignment horizontal="center" vertical="center"/>
    </xf>
    <xf numFmtId="0" fontId="23" fillId="6" borderId="32" xfId="0" applyFont="1" applyFill="1" applyBorder="1" applyAlignment="1">
      <alignment horizontal="center" vertical="center"/>
    </xf>
    <xf numFmtId="0" fontId="23" fillId="2" borderId="2" xfId="3" applyFont="1" applyFill="1" applyBorder="1" applyAlignment="1">
      <alignment horizontal="center" vertical="center" wrapText="1"/>
    </xf>
    <xf numFmtId="0" fontId="23" fillId="2" borderId="19" xfId="3" applyFont="1" applyFill="1" applyBorder="1" applyAlignment="1">
      <alignment horizontal="center" vertical="center" wrapText="1"/>
    </xf>
    <xf numFmtId="0" fontId="22" fillId="2" borderId="2" xfId="3" applyFont="1" applyFill="1" applyBorder="1" applyAlignment="1">
      <alignment horizontal="center" vertical="center" wrapText="1"/>
    </xf>
    <xf numFmtId="0" fontId="22" fillId="2" borderId="19" xfId="3" applyFont="1" applyFill="1" applyBorder="1" applyAlignment="1">
      <alignment horizontal="center" vertical="center" wrapText="1"/>
    </xf>
    <xf numFmtId="0" fontId="22" fillId="2" borderId="3" xfId="3" applyFont="1" applyFill="1" applyBorder="1" applyAlignment="1">
      <alignment horizontal="center" vertical="center" wrapText="1"/>
    </xf>
    <xf numFmtId="0" fontId="22" fillId="2" borderId="23" xfId="3" applyFont="1" applyFill="1" applyBorder="1" applyAlignment="1">
      <alignment horizontal="center" vertical="center" wrapText="1"/>
    </xf>
    <xf numFmtId="0" fontId="22" fillId="2" borderId="30" xfId="3" applyFont="1" applyFill="1" applyBorder="1" applyAlignment="1">
      <alignment horizontal="center" vertical="center" wrapText="1"/>
    </xf>
    <xf numFmtId="0" fontId="22" fillId="2" borderId="32" xfId="3" applyFont="1" applyFill="1" applyBorder="1" applyAlignment="1">
      <alignment horizontal="center" vertical="center" wrapText="1"/>
    </xf>
    <xf numFmtId="0" fontId="23" fillId="5" borderId="20" xfId="5" applyFont="1" applyFill="1" applyBorder="1" applyAlignment="1">
      <alignment horizontal="center" vertical="center" wrapText="1"/>
    </xf>
    <xf numFmtId="0" fontId="23" fillId="5" borderId="2" xfId="5" applyFont="1" applyFill="1" applyBorder="1" applyAlignment="1">
      <alignment horizontal="center" vertical="center" wrapText="1"/>
    </xf>
    <xf numFmtId="0" fontId="23" fillId="6" borderId="20" xfId="5" applyFont="1" applyFill="1" applyBorder="1" applyAlignment="1">
      <alignment horizontal="center" vertical="center" wrapText="1"/>
    </xf>
    <xf numFmtId="0" fontId="23" fillId="6" borderId="2" xfId="5" applyFont="1" applyFill="1" applyBorder="1" applyAlignment="1">
      <alignment horizontal="center" vertical="center" wrapText="1"/>
    </xf>
    <xf numFmtId="0" fontId="23" fillId="4" borderId="20" xfId="5" applyFont="1" applyFill="1" applyBorder="1" applyAlignment="1">
      <alignment horizontal="center" vertical="center"/>
    </xf>
    <xf numFmtId="0" fontId="23" fillId="4" borderId="2" xfId="5" applyFont="1" applyFill="1" applyBorder="1" applyAlignment="1">
      <alignment horizontal="center" vertical="center"/>
    </xf>
    <xf numFmtId="0" fontId="23" fillId="4" borderId="20" xfId="5" applyFont="1" applyFill="1" applyBorder="1" applyAlignment="1">
      <alignment horizontal="center" vertical="center" wrapText="1"/>
    </xf>
    <xf numFmtId="0" fontId="23" fillId="4" borderId="2" xfId="5" applyFont="1" applyFill="1" applyBorder="1" applyAlignment="1">
      <alignment horizontal="center" vertical="center" wrapText="1"/>
    </xf>
    <xf numFmtId="0" fontId="23" fillId="2" borderId="20" xfId="5" applyFont="1" applyFill="1" applyBorder="1" applyAlignment="1">
      <alignment horizontal="center" vertical="center"/>
    </xf>
    <xf numFmtId="0" fontId="23" fillId="2" borderId="2" xfId="5" applyFont="1" applyFill="1" applyBorder="1" applyAlignment="1">
      <alignment horizontal="center" vertical="center"/>
    </xf>
    <xf numFmtId="0" fontId="2" fillId="4" borderId="2" xfId="5" applyFont="1" applyFill="1" applyBorder="1" applyAlignment="1">
      <alignment horizontal="left" vertical="center" wrapText="1"/>
    </xf>
    <xf numFmtId="0" fontId="0" fillId="4" borderId="2" xfId="0" applyFont="1" applyFill="1" applyBorder="1" applyAlignment="1">
      <alignment horizontal="left" vertical="center" wrapText="1"/>
    </xf>
    <xf numFmtId="0" fontId="23" fillId="2" borderId="2" xfId="5" applyFont="1" applyFill="1" applyBorder="1" applyAlignment="1">
      <alignment horizontal="left" vertical="center" wrapText="1"/>
    </xf>
    <xf numFmtId="0" fontId="22" fillId="2" borderId="2" xfId="0" applyFont="1" applyFill="1" applyBorder="1" applyAlignment="1">
      <alignment horizontal="left" vertical="center" wrapText="1"/>
    </xf>
    <xf numFmtId="0" fontId="23" fillId="0" borderId="2" xfId="5" applyFont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  <xf numFmtId="0" fontId="23" fillId="0" borderId="2" xfId="5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3" fillId="3" borderId="20" xfId="5" applyFont="1" applyFill="1" applyBorder="1" applyAlignment="1">
      <alignment horizontal="center" vertical="center" wrapText="1"/>
    </xf>
    <xf numFmtId="0" fontId="23" fillId="3" borderId="2" xfId="5" applyFont="1" applyFill="1" applyBorder="1" applyAlignment="1">
      <alignment horizontal="center" vertical="center" wrapText="1"/>
    </xf>
    <xf numFmtId="0" fontId="22" fillId="0" borderId="2" xfId="5" applyFont="1" applyBorder="1" applyAlignment="1">
      <alignment horizontal="left" vertical="center" wrapText="1"/>
    </xf>
    <xf numFmtId="0" fontId="23" fillId="0" borderId="20" xfId="5" applyFont="1" applyBorder="1" applyAlignment="1">
      <alignment horizontal="center" vertical="center" wrapText="1"/>
    </xf>
    <xf numFmtId="0" fontId="23" fillId="0" borderId="2" xfId="5" applyFont="1" applyBorder="1" applyAlignment="1">
      <alignment horizontal="center" vertical="center" wrapText="1"/>
    </xf>
    <xf numFmtId="0" fontId="23" fillId="8" borderId="20" xfId="5" applyFont="1" applyFill="1" applyBorder="1" applyAlignment="1">
      <alignment horizontal="center" vertical="center"/>
    </xf>
    <xf numFmtId="0" fontId="23" fillId="8" borderId="2" xfId="5" applyFont="1" applyFill="1" applyBorder="1" applyAlignment="1">
      <alignment horizontal="center" vertical="center"/>
    </xf>
    <xf numFmtId="0" fontId="23" fillId="4" borderId="20" xfId="3" applyFont="1" applyFill="1" applyBorder="1" applyAlignment="1">
      <alignment horizontal="center" vertical="center" wrapText="1"/>
    </xf>
    <xf numFmtId="0" fontId="23" fillId="4" borderId="2" xfId="3" applyFont="1" applyFill="1" applyBorder="1" applyAlignment="1">
      <alignment horizontal="center" vertical="center" wrapText="1"/>
    </xf>
    <xf numFmtId="0" fontId="23" fillId="4" borderId="19" xfId="3" applyFont="1" applyFill="1" applyBorder="1" applyAlignment="1">
      <alignment horizontal="center" vertical="center" wrapText="1"/>
    </xf>
    <xf numFmtId="0" fontId="23" fillId="5" borderId="34" xfId="5" applyFont="1" applyFill="1" applyBorder="1" applyAlignment="1">
      <alignment horizontal="center" vertical="center" wrapText="1"/>
    </xf>
    <xf numFmtId="0" fontId="23" fillId="5" borderId="9" xfId="5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left" vertical="center" wrapText="1"/>
    </xf>
    <xf numFmtId="0" fontId="23" fillId="4" borderId="2" xfId="5" applyFont="1" applyFill="1" applyBorder="1" applyAlignment="1">
      <alignment horizontal="left" vertical="center" wrapText="1"/>
    </xf>
    <xf numFmtId="0" fontId="22" fillId="4" borderId="2" xfId="0" applyFont="1" applyFill="1" applyBorder="1" applyAlignment="1">
      <alignment horizontal="left" vertical="center" wrapText="1"/>
    </xf>
    <xf numFmtId="0" fontId="33" fillId="2" borderId="20" xfId="5" applyFont="1" applyFill="1" applyBorder="1" applyAlignment="1">
      <alignment horizontal="center" vertical="center" wrapText="1"/>
    </xf>
    <xf numFmtId="0" fontId="33" fillId="2" borderId="2" xfId="5" applyFont="1" applyFill="1" applyBorder="1" applyAlignment="1">
      <alignment horizontal="center" vertical="center" wrapText="1"/>
    </xf>
    <xf numFmtId="0" fontId="33" fillId="2" borderId="19" xfId="5" applyFont="1" applyFill="1" applyBorder="1" applyAlignment="1">
      <alignment horizontal="center" vertical="center" wrapText="1"/>
    </xf>
    <xf numFmtId="0" fontId="22" fillId="2" borderId="2" xfId="5" applyFont="1" applyFill="1" applyBorder="1" applyAlignment="1">
      <alignment horizontal="left" vertical="center" wrapText="1"/>
    </xf>
    <xf numFmtId="0" fontId="22" fillId="2" borderId="2" xfId="4" applyFont="1" applyFill="1" applyBorder="1" applyAlignment="1">
      <alignment horizontal="justify" vertical="center" wrapText="1"/>
    </xf>
    <xf numFmtId="0" fontId="22" fillId="2" borderId="2" xfId="0" applyFont="1" applyFill="1" applyBorder="1" applyAlignment="1">
      <alignment horizontal="justify" vertical="center"/>
    </xf>
    <xf numFmtId="0" fontId="22" fillId="2" borderId="2" xfId="4" applyFont="1" applyFill="1" applyBorder="1" applyAlignment="1">
      <alignment horizontal="center" vertical="center" wrapText="1"/>
    </xf>
    <xf numFmtId="0" fontId="22" fillId="2" borderId="19" xfId="4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/>
    </xf>
    <xf numFmtId="0" fontId="23" fillId="2" borderId="19" xfId="0" applyFont="1" applyFill="1" applyBorder="1" applyAlignment="1">
      <alignment horizontal="center" vertical="center"/>
    </xf>
    <xf numFmtId="4" fontId="2" fillId="0" borderId="51" xfId="0" applyNumberFormat="1" applyFont="1" applyBorder="1" applyAlignment="1">
      <alignment horizontal="center" vertical="center"/>
    </xf>
    <xf numFmtId="4" fontId="2" fillId="0" borderId="52" xfId="0" applyNumberFormat="1" applyFont="1" applyBorder="1" applyAlignment="1">
      <alignment horizontal="center" vertical="center"/>
    </xf>
    <xf numFmtId="4" fontId="2" fillId="0" borderId="53" xfId="0" applyNumberFormat="1" applyFont="1" applyBorder="1" applyAlignment="1">
      <alignment horizontal="center" vertical="center"/>
    </xf>
    <xf numFmtId="0" fontId="23" fillId="9" borderId="20" xfId="5" applyFont="1" applyFill="1" applyBorder="1" applyAlignment="1">
      <alignment horizontal="center" vertical="center" wrapText="1"/>
    </xf>
    <xf numFmtId="0" fontId="23" fillId="9" borderId="2" xfId="5" applyFont="1" applyFill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19" xfId="0" applyNumberFormat="1" applyFont="1" applyBorder="1" applyAlignment="1">
      <alignment horizontal="center" vertical="center"/>
    </xf>
    <xf numFmtId="4" fontId="23" fillId="2" borderId="2" xfId="5" applyNumberFormat="1" applyFont="1" applyFill="1" applyBorder="1" applyAlignment="1">
      <alignment horizontal="center" vertical="center" wrapText="1"/>
    </xf>
    <xf numFmtId="4" fontId="23" fillId="2" borderId="19" xfId="5" applyNumberFormat="1" applyFont="1" applyFill="1" applyBorder="1" applyAlignment="1">
      <alignment horizontal="center" vertical="center" wrapText="1"/>
    </xf>
    <xf numFmtId="0" fontId="23" fillId="8" borderId="19" xfId="5" applyFont="1" applyFill="1" applyBorder="1" applyAlignment="1">
      <alignment horizontal="center" vertical="center"/>
    </xf>
    <xf numFmtId="0" fontId="23" fillId="4" borderId="19" xfId="5" applyFont="1" applyFill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4" borderId="19" xfId="5" applyFont="1" applyFill="1" applyBorder="1" applyAlignment="1">
      <alignment horizontal="center" vertical="center" wrapText="1"/>
    </xf>
    <xf numFmtId="0" fontId="23" fillId="2" borderId="19" xfId="5" applyFont="1" applyFill="1" applyBorder="1" applyAlignment="1">
      <alignment horizontal="center" vertical="center"/>
    </xf>
    <xf numFmtId="0" fontId="22" fillId="0" borderId="17" xfId="0" applyFont="1" applyBorder="1" applyAlignment="1">
      <alignment horizontal="left" vertical="center" wrapText="1"/>
    </xf>
    <xf numFmtId="0" fontId="22" fillId="0" borderId="35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0" fontId="22" fillId="0" borderId="37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38" xfId="0" applyFont="1" applyBorder="1" applyAlignment="1">
      <alignment horizontal="left" vertical="center" wrapText="1"/>
    </xf>
    <xf numFmtId="0" fontId="22" fillId="0" borderId="15" xfId="0" applyFont="1" applyBorder="1" applyAlignment="1">
      <alignment horizontal="left" vertical="center" wrapText="1"/>
    </xf>
    <xf numFmtId="0" fontId="22" fillId="0" borderId="36" xfId="0" applyFont="1" applyBorder="1" applyAlignment="1">
      <alignment horizontal="left" vertical="center" wrapText="1"/>
    </xf>
    <xf numFmtId="0" fontId="22" fillId="0" borderId="14" xfId="0" applyFont="1" applyBorder="1" applyAlignment="1">
      <alignment horizontal="left" vertical="center" wrapText="1"/>
    </xf>
    <xf numFmtId="165" fontId="2" fillId="0" borderId="2" xfId="0" applyNumberFormat="1" applyFont="1" applyBorder="1" applyAlignment="1">
      <alignment horizontal="center" vertical="center"/>
    </xf>
    <xf numFmtId="165" fontId="2" fillId="0" borderId="19" xfId="0" applyNumberFormat="1" applyFont="1" applyBorder="1" applyAlignment="1">
      <alignment horizontal="center" vertical="center"/>
    </xf>
    <xf numFmtId="0" fontId="23" fillId="0" borderId="40" xfId="0" applyFont="1" applyBorder="1" applyAlignment="1">
      <alignment horizontal="center" vertical="center" wrapText="1"/>
    </xf>
    <xf numFmtId="0" fontId="23" fillId="0" borderId="43" xfId="0" applyFont="1" applyBorder="1" applyAlignment="1">
      <alignment horizontal="center" vertical="center" wrapText="1"/>
    </xf>
    <xf numFmtId="0" fontId="23" fillId="0" borderId="45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36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/>
    </xf>
    <xf numFmtId="0" fontId="2" fillId="7" borderId="35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/>
    </xf>
    <xf numFmtId="0" fontId="2" fillId="5" borderId="40" xfId="0" applyFont="1" applyFill="1" applyBorder="1" applyAlignment="1">
      <alignment horizontal="center"/>
    </xf>
    <xf numFmtId="0" fontId="2" fillId="5" borderId="43" xfId="0" applyFont="1" applyFill="1" applyBorder="1" applyAlignment="1">
      <alignment horizontal="center"/>
    </xf>
    <xf numFmtId="0" fontId="2" fillId="5" borderId="44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17" xfId="0" applyFont="1" applyBorder="1" applyAlignment="1">
      <alignment horizontal="left" vertical="center" wrapText="1"/>
    </xf>
    <xf numFmtId="0" fontId="0" fillId="0" borderId="3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37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38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36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22" fillId="2" borderId="7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8" xfId="0" applyFont="1" applyFill="1" applyBorder="1" applyAlignment="1">
      <alignment horizontal="center" vertical="center" wrapText="1"/>
    </xf>
    <xf numFmtId="0" fontId="23" fillId="7" borderId="4" xfId="0" applyFont="1" applyFill="1" applyBorder="1" applyAlignment="1">
      <alignment horizontal="center" vertical="center"/>
    </xf>
    <xf numFmtId="0" fontId="23" fillId="7" borderId="28" xfId="0" applyFont="1" applyFill="1" applyBorder="1" applyAlignment="1">
      <alignment horizontal="center" vertical="center"/>
    </xf>
    <xf numFmtId="0" fontId="23" fillId="7" borderId="6" xfId="0" applyFont="1" applyFill="1" applyBorder="1" applyAlignment="1">
      <alignment horizontal="center" vertical="center"/>
    </xf>
    <xf numFmtId="0" fontId="23" fillId="7" borderId="7" xfId="0" applyFont="1" applyFill="1" applyBorder="1" applyAlignment="1">
      <alignment horizontal="center" vertical="center" wrapText="1"/>
    </xf>
    <xf numFmtId="0" fontId="23" fillId="7" borderId="5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 wrapText="1"/>
    </xf>
    <xf numFmtId="0" fontId="22" fillId="2" borderId="37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 wrapText="1"/>
    </xf>
    <xf numFmtId="0" fontId="22" fillId="2" borderId="38" xfId="0" applyFont="1" applyFill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3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38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36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23" fillId="7" borderId="7" xfId="0" applyFont="1" applyFill="1" applyBorder="1" applyAlignment="1">
      <alignment horizontal="center" vertical="top" wrapText="1"/>
    </xf>
    <xf numFmtId="0" fontId="23" fillId="7" borderId="5" xfId="0" applyFont="1" applyFill="1" applyBorder="1" applyAlignment="1">
      <alignment horizontal="center" vertical="top" wrapText="1"/>
    </xf>
    <xf numFmtId="0" fontId="23" fillId="7" borderId="8" xfId="0" applyFont="1" applyFill="1" applyBorder="1" applyAlignment="1">
      <alignment horizontal="center" vertical="top" wrapText="1"/>
    </xf>
    <xf numFmtId="0" fontId="23" fillId="7" borderId="39" xfId="0" applyFont="1" applyFill="1" applyBorder="1" applyAlignment="1">
      <alignment horizontal="center" vertical="center" wrapText="1"/>
    </xf>
    <xf numFmtId="0" fontId="23" fillId="7" borderId="41" xfId="0" applyFont="1" applyFill="1" applyBorder="1" applyAlignment="1">
      <alignment horizontal="center" vertical="center" wrapText="1"/>
    </xf>
    <xf numFmtId="0" fontId="23" fillId="7" borderId="42" xfId="0" applyFont="1" applyFill="1" applyBorder="1" applyAlignment="1">
      <alignment horizontal="center" vertical="center" wrapText="1"/>
    </xf>
  </cellXfs>
  <cellStyles count="16">
    <cellStyle name="Estilo 1" xfId="8" xr:uid="{00000000-0005-0000-0000-000000000000}"/>
    <cellStyle name="Hiperlink" xfId="6" builtinId="8"/>
    <cellStyle name="Moeda" xfId="1" builtinId="4"/>
    <cellStyle name="Moeda 2" xfId="11" xr:uid="{00000000-0005-0000-0000-000003000000}"/>
    <cellStyle name="Moeda 2 2" xfId="14" xr:uid="{00000000-0005-0000-0000-000004000000}"/>
    <cellStyle name="Normal" xfId="0" builtinId="0"/>
    <cellStyle name="Normal 2" xfId="5" xr:uid="{00000000-0005-0000-0000-000006000000}"/>
    <cellStyle name="Normal 3" xfId="9" xr:uid="{00000000-0005-0000-0000-000007000000}"/>
    <cellStyle name="Normal 4" xfId="3" xr:uid="{00000000-0005-0000-0000-000008000000}"/>
    <cellStyle name="Normal 5" xfId="4" xr:uid="{00000000-0005-0000-0000-000009000000}"/>
    <cellStyle name="Normal 6" xfId="15" xr:uid="{00000000-0005-0000-0000-00000A000000}"/>
    <cellStyle name="Normal 7" xfId="12" xr:uid="{00000000-0005-0000-0000-00000B000000}"/>
    <cellStyle name="Porcentagem" xfId="2" builtinId="5"/>
    <cellStyle name="Vírgula" xfId="7" builtinId="3"/>
    <cellStyle name="Vírgula 2" xfId="10" xr:uid="{00000000-0005-0000-0000-00000E000000}"/>
    <cellStyle name="Vírgula 2 2" xfId="13" xr:uid="{00000000-0005-0000-0000-00000F000000}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2" displayName="Tabela2" ref="A3:B22" totalsRowShown="0" headerRowDxfId="5" headerRowBorderDxfId="4" tableBorderDxfId="3" totalsRowBorderDxfId="2">
  <autoFilter ref="A3:B22" xr:uid="{00000000-0009-0000-0100-000001000000}"/>
  <tableColumns count="2">
    <tableColumn id="1" xr3:uid="{00000000-0010-0000-0000-000001000000}" name="Colunas1" dataDxfId="1"/>
    <tableColumn id="2" xr3:uid="{00000000-0010-0000-0000-000002000000}" name="Colunas2" dataDxfId="0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0"/>
  <sheetViews>
    <sheetView topLeftCell="B1" zoomScale="145" zoomScaleNormal="145" workbookViewId="0">
      <selection activeCell="E8" sqref="E8"/>
    </sheetView>
  </sheetViews>
  <sheetFormatPr defaultRowHeight="15" x14ac:dyDescent="0.25"/>
  <cols>
    <col min="1" max="1" width="33.85546875" customWidth="1"/>
    <col min="2" max="2" width="15.42578125" customWidth="1"/>
    <col min="3" max="3" width="19.28515625" customWidth="1"/>
    <col min="5" max="5" width="59" customWidth="1"/>
  </cols>
  <sheetData>
    <row r="1" spans="1:5" ht="22.5" x14ac:dyDescent="0.25">
      <c r="E1" s="1" t="s">
        <v>50</v>
      </c>
    </row>
    <row r="2" spans="1:5" ht="21" x14ac:dyDescent="0.35">
      <c r="A2" s="288" t="s">
        <v>51</v>
      </c>
      <c r="B2" s="288"/>
      <c r="C2" s="288"/>
      <c r="E2" s="2" t="s">
        <v>52</v>
      </c>
    </row>
    <row r="3" spans="1:5" ht="174" customHeight="1" x14ac:dyDescent="0.3">
      <c r="A3" s="287" t="s">
        <v>53</v>
      </c>
      <c r="B3" s="287"/>
      <c r="C3" s="287"/>
      <c r="E3" s="4" t="s">
        <v>54</v>
      </c>
    </row>
    <row r="4" spans="1:5" ht="18.75" customHeight="1" thickBot="1" x14ac:dyDescent="0.35">
      <c r="A4" s="5"/>
      <c r="E4" s="6"/>
    </row>
    <row r="5" spans="1:5" ht="15.75" customHeight="1" thickBot="1" x14ac:dyDescent="0.3">
      <c r="A5" s="289" t="s">
        <v>55</v>
      </c>
      <c r="B5" s="290"/>
      <c r="C5" s="291"/>
      <c r="E5" s="7" t="s">
        <v>56</v>
      </c>
    </row>
    <row r="6" spans="1:5" ht="22.5" x14ac:dyDescent="0.25">
      <c r="A6" s="292" t="s">
        <v>57</v>
      </c>
      <c r="B6" s="292" t="s">
        <v>58</v>
      </c>
      <c r="C6" s="8" t="s">
        <v>59</v>
      </c>
      <c r="E6" s="7" t="s">
        <v>60</v>
      </c>
    </row>
    <row r="7" spans="1:5" ht="15.75" customHeight="1" thickBot="1" x14ac:dyDescent="0.3">
      <c r="A7" s="293"/>
      <c r="B7" s="293"/>
      <c r="C7" s="9" t="s">
        <v>61</v>
      </c>
      <c r="E7" s="7" t="s">
        <v>62</v>
      </c>
    </row>
    <row r="8" spans="1:5" ht="15.75" thickBot="1" x14ac:dyDescent="0.3">
      <c r="A8" s="10" t="s">
        <v>63</v>
      </c>
      <c r="B8" s="8">
        <v>30</v>
      </c>
      <c r="C8" s="8">
        <v>7</v>
      </c>
      <c r="D8">
        <f>(7/30)/12</f>
        <v>1.94444444444444E-2</v>
      </c>
      <c r="E8" s="11" t="s">
        <v>64</v>
      </c>
    </row>
    <row r="9" spans="1:5" ht="13.5" customHeight="1" x14ac:dyDescent="0.25">
      <c r="A9" s="12" t="s">
        <v>65</v>
      </c>
      <c r="B9" s="13">
        <v>33</v>
      </c>
      <c r="C9" s="13">
        <v>8</v>
      </c>
      <c r="D9">
        <f>(3/30)/12</f>
        <v>8.3333333333333297E-3</v>
      </c>
    </row>
    <row r="10" spans="1:5" ht="13.5" customHeight="1" x14ac:dyDescent="0.25">
      <c r="A10" s="12" t="s">
        <v>66</v>
      </c>
      <c r="B10" s="13">
        <v>36</v>
      </c>
      <c r="C10" s="13">
        <v>8</v>
      </c>
      <c r="D10">
        <f t="shared" ref="D10:D13" si="0">(3/30)/12</f>
        <v>8.3333333333333297E-3</v>
      </c>
    </row>
    <row r="11" spans="1:5" ht="13.5" customHeight="1" x14ac:dyDescent="0.25">
      <c r="A11" s="12" t="s">
        <v>67</v>
      </c>
      <c r="B11" s="13">
        <v>39</v>
      </c>
      <c r="C11" s="13">
        <v>9</v>
      </c>
      <c r="D11">
        <f t="shared" si="0"/>
        <v>8.3333333333333297E-3</v>
      </c>
    </row>
    <row r="12" spans="1:5" ht="13.5" customHeight="1" x14ac:dyDescent="0.25">
      <c r="A12" s="14" t="s">
        <v>68</v>
      </c>
      <c r="B12" s="15">
        <v>42</v>
      </c>
      <c r="C12" s="15">
        <v>10</v>
      </c>
      <c r="D12">
        <f t="shared" si="0"/>
        <v>8.3333333333333297E-3</v>
      </c>
    </row>
    <row r="13" spans="1:5" ht="13.5" customHeight="1" x14ac:dyDescent="0.25">
      <c r="A13" s="12" t="s">
        <v>69</v>
      </c>
      <c r="B13" s="13">
        <v>45</v>
      </c>
      <c r="C13" s="13">
        <v>11</v>
      </c>
      <c r="D13">
        <f t="shared" si="0"/>
        <v>8.3333333333333297E-3</v>
      </c>
      <c r="E13" t="s">
        <v>91</v>
      </c>
    </row>
    <row r="14" spans="1:5" x14ac:dyDescent="0.25">
      <c r="A14" s="12" t="s">
        <v>70</v>
      </c>
      <c r="B14" s="13">
        <v>48</v>
      </c>
      <c r="C14" s="13">
        <v>11</v>
      </c>
      <c r="E14" t="s">
        <v>49</v>
      </c>
    </row>
    <row r="15" spans="1:5" x14ac:dyDescent="0.25">
      <c r="A15" s="12" t="s">
        <v>71</v>
      </c>
      <c r="B15" s="13">
        <v>51</v>
      </c>
      <c r="C15" s="13">
        <v>12</v>
      </c>
    </row>
    <row r="16" spans="1:5" x14ac:dyDescent="0.25">
      <c r="A16" s="12" t="s">
        <v>72</v>
      </c>
      <c r="B16" s="13">
        <v>54</v>
      </c>
      <c r="C16" s="13">
        <v>13</v>
      </c>
    </row>
    <row r="17" spans="1:5" x14ac:dyDescent="0.25">
      <c r="A17" s="12" t="s">
        <v>73</v>
      </c>
      <c r="B17" s="13">
        <v>57</v>
      </c>
      <c r="C17" s="13">
        <v>13</v>
      </c>
    </row>
    <row r="18" spans="1:5" x14ac:dyDescent="0.25">
      <c r="A18" s="12" t="s">
        <v>74</v>
      </c>
      <c r="B18" s="13">
        <v>60</v>
      </c>
      <c r="C18" s="13">
        <v>14</v>
      </c>
    </row>
    <row r="19" spans="1:5" x14ac:dyDescent="0.25">
      <c r="A19" s="12" t="s">
        <v>75</v>
      </c>
      <c r="B19" s="13">
        <v>63</v>
      </c>
      <c r="C19" s="13">
        <v>15</v>
      </c>
    </row>
    <row r="20" spans="1:5" x14ac:dyDescent="0.25">
      <c r="A20" s="12" t="s">
        <v>76</v>
      </c>
      <c r="B20" s="13">
        <v>66</v>
      </c>
      <c r="C20" s="13">
        <v>15</v>
      </c>
    </row>
    <row r="21" spans="1:5" x14ac:dyDescent="0.25">
      <c r="A21" s="12" t="s">
        <v>77</v>
      </c>
      <c r="B21" s="13">
        <v>69</v>
      </c>
      <c r="C21" s="13">
        <v>16</v>
      </c>
    </row>
    <row r="22" spans="1:5" x14ac:dyDescent="0.25">
      <c r="A22" s="12" t="s">
        <v>78</v>
      </c>
      <c r="B22" s="13">
        <v>72</v>
      </c>
      <c r="C22" s="13">
        <v>17</v>
      </c>
    </row>
    <row r="23" spans="1:5" x14ac:dyDescent="0.25">
      <c r="A23" s="12" t="s">
        <v>79</v>
      </c>
      <c r="B23" s="13">
        <v>75</v>
      </c>
      <c r="C23" s="13">
        <v>18</v>
      </c>
    </row>
    <row r="24" spans="1:5" x14ac:dyDescent="0.25">
      <c r="A24" s="12" t="s">
        <v>80</v>
      </c>
      <c r="B24" s="13">
        <v>78</v>
      </c>
      <c r="C24" s="13">
        <v>18</v>
      </c>
    </row>
    <row r="25" spans="1:5" x14ac:dyDescent="0.25">
      <c r="A25" s="12" t="s">
        <v>81</v>
      </c>
      <c r="B25" s="13">
        <v>81</v>
      </c>
      <c r="C25" s="13">
        <v>19</v>
      </c>
    </row>
    <row r="26" spans="1:5" x14ac:dyDescent="0.25">
      <c r="A26" s="12" t="s">
        <v>82</v>
      </c>
      <c r="B26" s="13">
        <v>84</v>
      </c>
      <c r="C26" s="13">
        <v>20</v>
      </c>
    </row>
    <row r="27" spans="1:5" x14ac:dyDescent="0.25">
      <c r="A27" s="12" t="s">
        <v>83</v>
      </c>
      <c r="B27" s="13">
        <v>87</v>
      </c>
      <c r="C27" s="13">
        <v>20</v>
      </c>
    </row>
    <row r="28" spans="1:5" ht="15.75" thickBot="1" x14ac:dyDescent="0.3">
      <c r="A28" s="16" t="s">
        <v>84</v>
      </c>
      <c r="B28" s="9">
        <v>90</v>
      </c>
      <c r="C28" s="9">
        <v>21</v>
      </c>
      <c r="E28" s="17" t="s">
        <v>85</v>
      </c>
    </row>
    <row r="29" spans="1:5" ht="18.75" x14ac:dyDescent="0.3">
      <c r="A29" s="5"/>
    </row>
    <row r="30" spans="1:5" ht="145.5" customHeight="1" x14ac:dyDescent="0.3">
      <c r="A30" s="294" t="s">
        <v>86</v>
      </c>
      <c r="B30" s="294"/>
      <c r="C30" s="294"/>
    </row>
    <row r="31" spans="1:5" ht="18.75" x14ac:dyDescent="0.3">
      <c r="A31" s="5"/>
    </row>
    <row r="32" spans="1:5" ht="18.75" x14ac:dyDescent="0.3">
      <c r="A32" s="18" t="s">
        <v>87</v>
      </c>
    </row>
    <row r="33" spans="1:3" ht="18.75" x14ac:dyDescent="0.3">
      <c r="A33" s="5"/>
    </row>
    <row r="34" spans="1:3" x14ac:dyDescent="0.25">
      <c r="A34" s="287" t="s">
        <v>88</v>
      </c>
      <c r="B34" s="287"/>
      <c r="C34" s="287"/>
    </row>
    <row r="35" spans="1:3" x14ac:dyDescent="0.25">
      <c r="A35" s="287"/>
      <c r="B35" s="287"/>
      <c r="C35" s="287"/>
    </row>
    <row r="36" spans="1:3" x14ac:dyDescent="0.25">
      <c r="A36" s="287" t="s">
        <v>89</v>
      </c>
      <c r="B36" s="287"/>
      <c r="C36" s="287"/>
    </row>
    <row r="37" spans="1:3" x14ac:dyDescent="0.25">
      <c r="A37" s="287"/>
      <c r="B37" s="287"/>
      <c r="C37" s="287"/>
    </row>
    <row r="40" spans="1:3" x14ac:dyDescent="0.25">
      <c r="A40" s="19" t="s">
        <v>90</v>
      </c>
    </row>
  </sheetData>
  <mergeCells count="8">
    <mergeCell ref="A34:C35"/>
    <mergeCell ref="A36:C37"/>
    <mergeCell ref="A2:C2"/>
    <mergeCell ref="A3:C3"/>
    <mergeCell ref="A5:C5"/>
    <mergeCell ref="A6:A7"/>
    <mergeCell ref="B6:B7"/>
    <mergeCell ref="A30:C30"/>
  </mergeCells>
  <hyperlinks>
    <hyperlink ref="E28" location="'ADAPTAÇÃO A IN 06_13'!B77" display="VOLTAR PLANILHA PRINCIPAL" xr:uid="{00000000-0004-0000-0000-000000000000}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124"/>
  <sheetViews>
    <sheetView view="pageBreakPreview" topLeftCell="A93" zoomScaleNormal="115" zoomScaleSheetLayoutView="100" workbookViewId="0">
      <selection activeCell="E21" sqref="E21"/>
    </sheetView>
  </sheetViews>
  <sheetFormatPr defaultColWidth="9.140625" defaultRowHeight="15.75" x14ac:dyDescent="0.25"/>
  <cols>
    <col min="1" max="1" width="8.7109375" style="29" customWidth="1"/>
    <col min="2" max="2" width="72.5703125" style="31" customWidth="1"/>
    <col min="3" max="4" width="15.7109375" style="32" customWidth="1"/>
    <col min="5" max="5" width="15.7109375" style="28" customWidth="1"/>
    <col min="6" max="6" width="9.140625" style="28" customWidth="1"/>
    <col min="7" max="16384" width="9.140625" style="28"/>
  </cols>
  <sheetData>
    <row r="1" spans="1:5" x14ac:dyDescent="0.25">
      <c r="A1" s="331"/>
      <c r="B1" s="332"/>
      <c r="C1" s="332"/>
      <c r="D1" s="332"/>
      <c r="E1" s="333"/>
    </row>
    <row r="2" spans="1:5" s="38" customFormat="1" ht="16.5" customHeight="1" x14ac:dyDescent="0.25">
      <c r="A2" s="367" t="s">
        <v>127</v>
      </c>
      <c r="B2" s="368"/>
      <c r="C2" s="368"/>
      <c r="D2" s="368"/>
      <c r="E2" s="369"/>
    </row>
    <row r="3" spans="1:5" s="38" customFormat="1" x14ac:dyDescent="0.25">
      <c r="A3" s="325" t="s">
        <v>126</v>
      </c>
      <c r="B3" s="326"/>
      <c r="C3" s="326"/>
      <c r="D3" s="326"/>
      <c r="E3" s="327"/>
    </row>
    <row r="4" spans="1:5" s="38" customFormat="1" ht="15" customHeight="1" x14ac:dyDescent="0.25">
      <c r="A4" s="74" t="s">
        <v>0</v>
      </c>
      <c r="B4" s="102" t="s">
        <v>1</v>
      </c>
      <c r="C4" s="334">
        <v>2025</v>
      </c>
      <c r="D4" s="334"/>
      <c r="E4" s="335"/>
    </row>
    <row r="5" spans="1:5" s="38" customFormat="1" ht="75" customHeight="1" x14ac:dyDescent="0.25">
      <c r="A5" s="74" t="s">
        <v>2</v>
      </c>
      <c r="B5" s="102" t="s">
        <v>135</v>
      </c>
      <c r="C5" s="336" t="s">
        <v>242</v>
      </c>
      <c r="D5" s="336"/>
      <c r="E5" s="337"/>
    </row>
    <row r="6" spans="1:5" s="38" customFormat="1" ht="15.75" customHeight="1" x14ac:dyDescent="0.25">
      <c r="A6" s="74" t="s">
        <v>3</v>
      </c>
      <c r="B6" s="102" t="s">
        <v>4</v>
      </c>
      <c r="C6" s="336"/>
      <c r="D6" s="336"/>
      <c r="E6" s="337"/>
    </row>
    <row r="7" spans="1:5" s="38" customFormat="1" x14ac:dyDescent="0.25">
      <c r="A7" s="74" t="s">
        <v>5</v>
      </c>
      <c r="B7" s="102" t="s">
        <v>300</v>
      </c>
      <c r="C7" s="336">
        <v>12</v>
      </c>
      <c r="D7" s="336"/>
      <c r="E7" s="337"/>
    </row>
    <row r="8" spans="1:5" s="38" customFormat="1" x14ac:dyDescent="0.25">
      <c r="A8" s="325" t="s">
        <v>6</v>
      </c>
      <c r="B8" s="326"/>
      <c r="C8" s="326"/>
      <c r="D8" s="326"/>
      <c r="E8" s="327"/>
    </row>
    <row r="9" spans="1:5" s="38" customFormat="1" x14ac:dyDescent="0.25">
      <c r="A9" s="325" t="s">
        <v>7</v>
      </c>
      <c r="B9" s="326"/>
      <c r="C9" s="326"/>
      <c r="D9" s="326"/>
      <c r="E9" s="327"/>
    </row>
    <row r="10" spans="1:5" s="38" customFormat="1" ht="15.75" customHeight="1" x14ac:dyDescent="0.25">
      <c r="A10" s="325" t="s">
        <v>8</v>
      </c>
      <c r="B10" s="326"/>
      <c r="C10" s="326"/>
      <c r="D10" s="326"/>
      <c r="E10" s="327"/>
    </row>
    <row r="11" spans="1:5" s="38" customFormat="1" ht="30" customHeight="1" x14ac:dyDescent="0.25">
      <c r="A11" s="328" t="s">
        <v>9</v>
      </c>
      <c r="B11" s="329"/>
      <c r="C11" s="329"/>
      <c r="D11" s="394" t="s">
        <v>10</v>
      </c>
      <c r="E11" s="395"/>
    </row>
    <row r="12" spans="1:5" s="38" customFormat="1" ht="60" customHeight="1" x14ac:dyDescent="0.25">
      <c r="A12" s="74">
        <v>1</v>
      </c>
      <c r="B12" s="247" t="s">
        <v>128</v>
      </c>
      <c r="C12" s="381" t="s">
        <v>243</v>
      </c>
      <c r="D12" s="381"/>
      <c r="E12" s="382"/>
    </row>
    <row r="13" spans="1:5" s="38" customFormat="1" ht="30" customHeight="1" x14ac:dyDescent="0.25">
      <c r="A13" s="74">
        <v>2</v>
      </c>
      <c r="B13" s="247" t="s">
        <v>11</v>
      </c>
      <c r="C13" s="410">
        <f>(13581.68+(13581.68*10.18%)+(14964.25*8.9%)+(16296.07*6.97%)+(17431.95*7.5%))</f>
        <v>18739.349999999999</v>
      </c>
      <c r="D13" s="410"/>
      <c r="E13" s="411"/>
    </row>
    <row r="14" spans="1:5" s="38" customFormat="1" ht="15.75" customHeight="1" x14ac:dyDescent="0.25">
      <c r="A14" s="74">
        <v>3</v>
      </c>
      <c r="B14" s="247" t="s">
        <v>12</v>
      </c>
      <c r="C14" s="381" t="s">
        <v>246</v>
      </c>
      <c r="D14" s="381"/>
      <c r="E14" s="382"/>
    </row>
    <row r="15" spans="1:5" s="38" customFormat="1" x14ac:dyDescent="0.25">
      <c r="A15" s="74">
        <v>4</v>
      </c>
      <c r="B15" s="248" t="s">
        <v>13</v>
      </c>
      <c r="C15" s="383">
        <v>2025</v>
      </c>
      <c r="D15" s="383"/>
      <c r="E15" s="384"/>
    </row>
    <row r="16" spans="1:5" s="39" customFormat="1" ht="30" x14ac:dyDescent="0.25">
      <c r="A16" s="346" t="s">
        <v>14</v>
      </c>
      <c r="B16" s="347"/>
      <c r="C16" s="347"/>
      <c r="D16" s="252" t="s">
        <v>250</v>
      </c>
      <c r="E16" s="264" t="s">
        <v>249</v>
      </c>
    </row>
    <row r="17" spans="1:5" s="39" customFormat="1" x14ac:dyDescent="0.25">
      <c r="A17" s="259">
        <v>1</v>
      </c>
      <c r="B17" s="354" t="s">
        <v>15</v>
      </c>
      <c r="C17" s="354"/>
      <c r="D17" s="103" t="s">
        <v>10</v>
      </c>
      <c r="E17" s="104" t="s">
        <v>10</v>
      </c>
    </row>
    <row r="18" spans="1:5" s="38" customFormat="1" ht="15.75" customHeight="1" x14ac:dyDescent="0.25">
      <c r="A18" s="105" t="s">
        <v>0</v>
      </c>
      <c r="B18" s="106" t="s">
        <v>16</v>
      </c>
      <c r="C18" s="248"/>
      <c r="D18" s="76">
        <f>C13</f>
        <v>18739.349999999999</v>
      </c>
      <c r="E18" s="148">
        <f>C13</f>
        <v>18739.349999999999</v>
      </c>
    </row>
    <row r="19" spans="1:5" s="38" customFormat="1" ht="15.75" customHeight="1" x14ac:dyDescent="0.25">
      <c r="A19" s="105" t="s">
        <v>2</v>
      </c>
      <c r="B19" s="106" t="s">
        <v>17</v>
      </c>
      <c r="C19" s="114"/>
      <c r="D19" s="112"/>
      <c r="E19" s="113"/>
    </row>
    <row r="20" spans="1:5" s="38" customFormat="1" ht="15.75" customHeight="1" x14ac:dyDescent="0.25">
      <c r="A20" s="105" t="s">
        <v>3</v>
      </c>
      <c r="B20" s="106" t="s">
        <v>18</v>
      </c>
      <c r="C20" s="111">
        <v>1518</v>
      </c>
      <c r="D20" s="112">
        <f>40%*C20</f>
        <v>607.20000000000005</v>
      </c>
      <c r="E20" s="113">
        <f>40%*C20</f>
        <v>607.20000000000005</v>
      </c>
    </row>
    <row r="21" spans="1:5" s="38" customFormat="1" ht="15.75" customHeight="1" x14ac:dyDescent="0.25">
      <c r="A21" s="105" t="s">
        <v>5</v>
      </c>
      <c r="B21" s="106" t="s">
        <v>19</v>
      </c>
      <c r="C21" s="114"/>
      <c r="D21" s="112"/>
      <c r="E21" s="113"/>
    </row>
    <row r="22" spans="1:5" s="38" customFormat="1" ht="15.75" customHeight="1" x14ac:dyDescent="0.25">
      <c r="A22" s="105" t="s">
        <v>20</v>
      </c>
      <c r="B22" s="106" t="s">
        <v>195</v>
      </c>
      <c r="C22" s="114"/>
      <c r="D22" s="112"/>
      <c r="E22" s="113"/>
    </row>
    <row r="23" spans="1:5" s="38" customFormat="1" x14ac:dyDescent="0.25">
      <c r="A23" s="105" t="s">
        <v>21</v>
      </c>
      <c r="B23" s="106" t="s">
        <v>133</v>
      </c>
      <c r="C23" s="115"/>
      <c r="D23" s="112"/>
      <c r="E23" s="113"/>
    </row>
    <row r="24" spans="1:5" s="38" customFormat="1" ht="15.75" customHeight="1" x14ac:dyDescent="0.25">
      <c r="A24" s="105" t="s">
        <v>22</v>
      </c>
      <c r="B24" s="116" t="s">
        <v>134</v>
      </c>
      <c r="C24" s="115"/>
      <c r="D24" s="112"/>
      <c r="E24" s="113"/>
    </row>
    <row r="25" spans="1:5" s="39" customFormat="1" ht="15.75" customHeight="1" x14ac:dyDescent="0.25">
      <c r="A25" s="344" t="s">
        <v>145</v>
      </c>
      <c r="B25" s="345"/>
      <c r="C25" s="345"/>
      <c r="D25" s="117">
        <f>SUM(D18:D24)</f>
        <v>19346.55</v>
      </c>
      <c r="E25" s="118">
        <f>SUM(E18:E24)</f>
        <v>19346.55</v>
      </c>
    </row>
    <row r="26" spans="1:5" s="39" customFormat="1" x14ac:dyDescent="0.25">
      <c r="A26" s="346" t="s">
        <v>48</v>
      </c>
      <c r="B26" s="347"/>
      <c r="C26" s="347"/>
      <c r="D26" s="208"/>
      <c r="E26" s="245"/>
    </row>
    <row r="27" spans="1:5" s="38" customFormat="1" x14ac:dyDescent="0.25">
      <c r="A27" s="257">
        <v>2</v>
      </c>
      <c r="B27" s="356" t="s">
        <v>196</v>
      </c>
      <c r="C27" s="372"/>
      <c r="D27" s="121" t="s">
        <v>10</v>
      </c>
      <c r="E27" s="122" t="s">
        <v>10</v>
      </c>
    </row>
    <row r="28" spans="1:5" s="38" customFormat="1" x14ac:dyDescent="0.25">
      <c r="A28" s="123" t="s">
        <v>0</v>
      </c>
      <c r="B28" s="124" t="s">
        <v>28</v>
      </c>
      <c r="C28" s="125">
        <f>1/12</f>
        <v>8.3299999999999999E-2</v>
      </c>
      <c r="D28" s="126">
        <f>(D25)*C28</f>
        <v>1611.57</v>
      </c>
      <c r="E28" s="127">
        <f>(E25)*C28</f>
        <v>1611.57</v>
      </c>
    </row>
    <row r="29" spans="1:5" s="38" customFormat="1" x14ac:dyDescent="0.25">
      <c r="A29" s="123" t="s">
        <v>2</v>
      </c>
      <c r="B29" s="124" t="s">
        <v>141</v>
      </c>
      <c r="C29" s="125">
        <v>0.1111</v>
      </c>
      <c r="D29" s="126">
        <f>(D25)*C29</f>
        <v>2149.4</v>
      </c>
      <c r="E29" s="127">
        <f>(E25)*C29</f>
        <v>2149.4</v>
      </c>
    </row>
    <row r="30" spans="1:5" x14ac:dyDescent="0.25">
      <c r="A30" s="342" t="s">
        <v>27</v>
      </c>
      <c r="B30" s="343"/>
      <c r="C30" s="128">
        <f>SUM(C28:C29)</f>
        <v>0.19439999999999999</v>
      </c>
      <c r="D30" s="63">
        <f>SUM(D28:D29)</f>
        <v>3760.97</v>
      </c>
      <c r="E30" s="64">
        <f>SUM(E28:E29)</f>
        <v>3760.97</v>
      </c>
    </row>
    <row r="31" spans="1:5" ht="32.25" customHeight="1" x14ac:dyDescent="0.25">
      <c r="A31" s="375" t="s">
        <v>197</v>
      </c>
      <c r="B31" s="376"/>
      <c r="C31" s="376"/>
      <c r="D31" s="376"/>
      <c r="E31" s="377"/>
    </row>
    <row r="32" spans="1:5" x14ac:dyDescent="0.25">
      <c r="A32" s="251" t="s">
        <v>200</v>
      </c>
      <c r="B32" s="373" t="s">
        <v>25</v>
      </c>
      <c r="C32" s="374"/>
      <c r="D32" s="129" t="s">
        <v>10</v>
      </c>
      <c r="E32" s="130" t="s">
        <v>10</v>
      </c>
    </row>
    <row r="33" spans="1:5" x14ac:dyDescent="0.25">
      <c r="A33" s="123" t="s">
        <v>0</v>
      </c>
      <c r="B33" s="131" t="s">
        <v>301</v>
      </c>
      <c r="C33" s="125">
        <v>0.2</v>
      </c>
      <c r="D33" s="126">
        <f>(D25+D30)*C33</f>
        <v>4621.5</v>
      </c>
      <c r="E33" s="127">
        <f>(E25+E30)*C33</f>
        <v>4621.5</v>
      </c>
    </row>
    <row r="34" spans="1:5" x14ac:dyDescent="0.25">
      <c r="A34" s="123" t="s">
        <v>2</v>
      </c>
      <c r="B34" s="131" t="s">
        <v>302</v>
      </c>
      <c r="C34" s="132">
        <v>2.5000000000000001E-2</v>
      </c>
      <c r="D34" s="126">
        <f>(D25+D30)*C34</f>
        <v>577.69000000000005</v>
      </c>
      <c r="E34" s="127">
        <f>(E25+E30)*C34</f>
        <v>577.69000000000005</v>
      </c>
    </row>
    <row r="35" spans="1:5" ht="45" x14ac:dyDescent="0.25">
      <c r="A35" s="123" t="s">
        <v>3</v>
      </c>
      <c r="B35" s="250" t="s">
        <v>303</v>
      </c>
      <c r="C35" s="132">
        <v>0.03</v>
      </c>
      <c r="D35" s="126">
        <f>(D25+D30)*C35</f>
        <v>693.23</v>
      </c>
      <c r="E35" s="127">
        <f>(E25+E30)*C35</f>
        <v>693.23</v>
      </c>
    </row>
    <row r="36" spans="1:5" x14ac:dyDescent="0.25">
      <c r="A36" s="123" t="s">
        <v>5</v>
      </c>
      <c r="B36" s="131" t="s">
        <v>304</v>
      </c>
      <c r="C36" s="132">
        <v>1.4999999999999999E-2</v>
      </c>
      <c r="D36" s="126">
        <f>(D25+D30)*C36</f>
        <v>346.61</v>
      </c>
      <c r="E36" s="127">
        <f>(E25+E30)*C36</f>
        <v>346.61</v>
      </c>
    </row>
    <row r="37" spans="1:5" x14ac:dyDescent="0.25">
      <c r="A37" s="123" t="s">
        <v>20</v>
      </c>
      <c r="B37" s="131" t="s">
        <v>305</v>
      </c>
      <c r="C37" s="132">
        <v>0.01</v>
      </c>
      <c r="D37" s="126">
        <f>(D25+D30)*C37</f>
        <v>231.08</v>
      </c>
      <c r="E37" s="127">
        <f>(E25+E30)*C37</f>
        <v>231.08</v>
      </c>
    </row>
    <row r="38" spans="1:5" x14ac:dyDescent="0.25">
      <c r="A38" s="123" t="s">
        <v>21</v>
      </c>
      <c r="B38" s="133" t="s">
        <v>199</v>
      </c>
      <c r="C38" s="132">
        <v>6.0000000000000001E-3</v>
      </c>
      <c r="D38" s="126">
        <f>(D25+D30)*C38</f>
        <v>138.65</v>
      </c>
      <c r="E38" s="127">
        <f>(E25+E30)*C38</f>
        <v>138.65</v>
      </c>
    </row>
    <row r="39" spans="1:5" ht="30.75" customHeight="1" x14ac:dyDescent="0.25">
      <c r="A39" s="123" t="s">
        <v>22</v>
      </c>
      <c r="B39" s="250" t="s">
        <v>306</v>
      </c>
      <c r="C39" s="132">
        <v>2E-3</v>
      </c>
      <c r="D39" s="126">
        <f>(D25+D30)*C39</f>
        <v>46.22</v>
      </c>
      <c r="E39" s="127">
        <f>(E25+E30)*C39</f>
        <v>46.22</v>
      </c>
    </row>
    <row r="40" spans="1:5" x14ac:dyDescent="0.25">
      <c r="A40" s="123" t="s">
        <v>26</v>
      </c>
      <c r="B40" s="134" t="s">
        <v>198</v>
      </c>
      <c r="C40" s="132">
        <v>0.08</v>
      </c>
      <c r="D40" s="126">
        <f>(D25+D30)*C40</f>
        <v>1848.6</v>
      </c>
      <c r="E40" s="127">
        <f>(E25+E30)*C40</f>
        <v>1848.6</v>
      </c>
    </row>
    <row r="41" spans="1:5" s="30" customFormat="1" x14ac:dyDescent="0.25">
      <c r="A41" s="342" t="s">
        <v>27</v>
      </c>
      <c r="B41" s="343"/>
      <c r="C41" s="135">
        <f>SUM(C33:C40)</f>
        <v>0.36799999999999999</v>
      </c>
      <c r="D41" s="63">
        <f>SUM(D33:D40)</f>
        <v>8503.58</v>
      </c>
      <c r="E41" s="64">
        <f>SUM(E33:E40)</f>
        <v>8503.58</v>
      </c>
    </row>
    <row r="42" spans="1:5" s="30" customFormat="1" x14ac:dyDescent="0.25">
      <c r="A42" s="138" t="s">
        <v>201</v>
      </c>
      <c r="B42" s="352" t="s">
        <v>202</v>
      </c>
      <c r="C42" s="353"/>
      <c r="D42" s="139" t="s">
        <v>10</v>
      </c>
      <c r="E42" s="140" t="s">
        <v>10</v>
      </c>
    </row>
    <row r="43" spans="1:5" s="30" customFormat="1" x14ac:dyDescent="0.25">
      <c r="A43" s="141" t="s">
        <v>0</v>
      </c>
      <c r="B43" s="142" t="s">
        <v>137</v>
      </c>
      <c r="C43" s="209"/>
      <c r="D43" s="112">
        <v>0</v>
      </c>
      <c r="E43" s="113">
        <v>0</v>
      </c>
    </row>
    <row r="44" spans="1:5" s="30" customFormat="1" x14ac:dyDescent="0.25">
      <c r="A44" s="146" t="s">
        <v>2</v>
      </c>
      <c r="B44" s="116" t="s">
        <v>203</v>
      </c>
      <c r="C44" s="147"/>
      <c r="D44" s="112">
        <v>0</v>
      </c>
      <c r="E44" s="113">
        <v>0</v>
      </c>
    </row>
    <row r="45" spans="1:5" s="30" customFormat="1" x14ac:dyDescent="0.25">
      <c r="A45" s="123" t="s">
        <v>5</v>
      </c>
      <c r="B45" s="124" t="s">
        <v>129</v>
      </c>
      <c r="C45" s="186"/>
      <c r="D45" s="112">
        <v>0</v>
      </c>
      <c r="E45" s="113">
        <v>0</v>
      </c>
    </row>
    <row r="46" spans="1:5" s="30" customFormat="1" x14ac:dyDescent="0.25">
      <c r="A46" s="123" t="s">
        <v>20</v>
      </c>
      <c r="B46" s="124" t="s">
        <v>130</v>
      </c>
      <c r="C46" s="125"/>
      <c r="D46" s="112">
        <v>0</v>
      </c>
      <c r="E46" s="113">
        <v>0</v>
      </c>
    </row>
    <row r="47" spans="1:5" s="30" customFormat="1" x14ac:dyDescent="0.25">
      <c r="A47" s="123" t="s">
        <v>21</v>
      </c>
      <c r="B47" s="124" t="s">
        <v>131</v>
      </c>
      <c r="C47" s="186"/>
      <c r="D47" s="112">
        <v>0</v>
      </c>
      <c r="E47" s="113">
        <v>0</v>
      </c>
    </row>
    <row r="48" spans="1:5" s="30" customFormat="1" ht="15.75" customHeight="1" x14ac:dyDescent="0.25">
      <c r="A48" s="342" t="s">
        <v>23</v>
      </c>
      <c r="B48" s="343"/>
      <c r="C48" s="343"/>
      <c r="D48" s="63">
        <f>SUM(D43:D47)</f>
        <v>0</v>
      </c>
      <c r="E48" s="64">
        <f>SUM(E43:E47)</f>
        <v>0</v>
      </c>
    </row>
    <row r="49" spans="1:5" s="30" customFormat="1" ht="15.75" customHeight="1" x14ac:dyDescent="0.25">
      <c r="A49" s="346" t="s">
        <v>144</v>
      </c>
      <c r="B49" s="347"/>
      <c r="C49" s="347"/>
      <c r="D49" s="347"/>
      <c r="E49" s="397"/>
    </row>
    <row r="50" spans="1:5" s="30" customFormat="1" ht="15.75" customHeight="1" x14ac:dyDescent="0.25">
      <c r="A50" s="259" t="s">
        <v>136</v>
      </c>
      <c r="B50" s="152" t="s">
        <v>138</v>
      </c>
      <c r="C50" s="260"/>
      <c r="D50" s="107">
        <f>D30</f>
        <v>3760.97</v>
      </c>
      <c r="E50" s="108">
        <f>E30</f>
        <v>3760.97</v>
      </c>
    </row>
    <row r="51" spans="1:5" s="30" customFormat="1" ht="15.75" customHeight="1" x14ac:dyDescent="0.25">
      <c r="A51" s="259" t="s">
        <v>200</v>
      </c>
      <c r="B51" s="152" t="s">
        <v>139</v>
      </c>
      <c r="C51" s="260"/>
      <c r="D51" s="107">
        <f>D41</f>
        <v>8503.58</v>
      </c>
      <c r="E51" s="108">
        <f>E41</f>
        <v>8503.58</v>
      </c>
    </row>
    <row r="52" spans="1:5" s="30" customFormat="1" ht="15.75" customHeight="1" x14ac:dyDescent="0.25">
      <c r="A52" s="259" t="s">
        <v>201</v>
      </c>
      <c r="B52" s="152" t="s">
        <v>140</v>
      </c>
      <c r="C52" s="260"/>
      <c r="D52" s="107">
        <f>D48</f>
        <v>0</v>
      </c>
      <c r="E52" s="108">
        <f>E48</f>
        <v>0</v>
      </c>
    </row>
    <row r="53" spans="1:5" s="30" customFormat="1" ht="15.75" customHeight="1" x14ac:dyDescent="0.25">
      <c r="A53" s="344" t="s">
        <v>146</v>
      </c>
      <c r="B53" s="345"/>
      <c r="C53" s="345"/>
      <c r="D53" s="117">
        <f>SUM(D50:D52)</f>
        <v>12264.55</v>
      </c>
      <c r="E53" s="118">
        <f>SUM(E50:E52)</f>
        <v>12264.55</v>
      </c>
    </row>
    <row r="54" spans="1:5" s="30" customFormat="1" ht="15.75" customHeight="1" x14ac:dyDescent="0.25">
      <c r="A54" s="346" t="s">
        <v>154</v>
      </c>
      <c r="B54" s="347"/>
      <c r="C54" s="347"/>
      <c r="D54" s="347"/>
      <c r="E54" s="397"/>
    </row>
    <row r="55" spans="1:5" s="30" customFormat="1" ht="15.75" customHeight="1" x14ac:dyDescent="0.25">
      <c r="A55" s="257" t="s">
        <v>191</v>
      </c>
      <c r="B55" s="356" t="s">
        <v>32</v>
      </c>
      <c r="C55" s="357"/>
      <c r="D55" s="121" t="s">
        <v>10</v>
      </c>
      <c r="E55" s="122" t="s">
        <v>10</v>
      </c>
    </row>
    <row r="56" spans="1:5" s="30" customFormat="1" ht="15.75" customHeight="1" x14ac:dyDescent="0.25">
      <c r="A56" s="123" t="s">
        <v>0</v>
      </c>
      <c r="B56" s="124" t="s">
        <v>33</v>
      </c>
      <c r="C56" s="125">
        <v>4.5999999999999999E-3</v>
      </c>
      <c r="D56" s="126">
        <f>D$25*C56</f>
        <v>88.99</v>
      </c>
      <c r="E56" s="127">
        <f>E$25*C56</f>
        <v>88.99</v>
      </c>
    </row>
    <row r="57" spans="1:5" s="30" customFormat="1" ht="15.75" customHeight="1" x14ac:dyDescent="0.25">
      <c r="A57" s="123" t="s">
        <v>2</v>
      </c>
      <c r="B57" s="124" t="s">
        <v>34</v>
      </c>
      <c r="C57" s="125">
        <v>4.0000000000000002E-4</v>
      </c>
      <c r="D57" s="126">
        <f>D$25*C57</f>
        <v>7.74</v>
      </c>
      <c r="E57" s="127">
        <f>E$25*C57</f>
        <v>7.74</v>
      </c>
    </row>
    <row r="58" spans="1:5" s="30" customFormat="1" ht="15.75" customHeight="1" x14ac:dyDescent="0.25">
      <c r="A58" s="123" t="s">
        <v>3</v>
      </c>
      <c r="B58" s="124" t="s">
        <v>35</v>
      </c>
      <c r="C58" s="125">
        <v>1.9400000000000001E-2</v>
      </c>
      <c r="D58" s="126">
        <f>D$25*C58</f>
        <v>375.32</v>
      </c>
      <c r="E58" s="127">
        <f>E$25*C58</f>
        <v>375.32</v>
      </c>
    </row>
    <row r="59" spans="1:5" s="30" customFormat="1" ht="30" customHeight="1" x14ac:dyDescent="0.25">
      <c r="A59" s="123" t="s">
        <v>5</v>
      </c>
      <c r="B59" s="189" t="s">
        <v>310</v>
      </c>
      <c r="C59" s="125">
        <v>7.7000000000000002E-3</v>
      </c>
      <c r="D59" s="126">
        <f>D$25*C59</f>
        <v>148.97</v>
      </c>
      <c r="E59" s="127">
        <f>E$25*C59</f>
        <v>148.97</v>
      </c>
    </row>
    <row r="60" spans="1:5" s="30" customFormat="1" ht="32.25" customHeight="1" x14ac:dyDescent="0.25">
      <c r="A60" s="123" t="s">
        <v>20</v>
      </c>
      <c r="B60" s="124" t="s">
        <v>204</v>
      </c>
      <c r="C60" s="125">
        <v>0.04</v>
      </c>
      <c r="D60" s="126">
        <f>D$25*C60</f>
        <v>773.86</v>
      </c>
      <c r="E60" s="127">
        <f>E$25*C60</f>
        <v>773.86</v>
      </c>
    </row>
    <row r="61" spans="1:5" s="30" customFormat="1" ht="15.75" customHeight="1" x14ac:dyDescent="0.25">
      <c r="A61" s="344" t="s">
        <v>147</v>
      </c>
      <c r="B61" s="345"/>
      <c r="C61" s="265">
        <f>SUM(C56:C60)</f>
        <v>7.2099999999999997E-2</v>
      </c>
      <c r="D61" s="117">
        <f>SUM(D56:D60)</f>
        <v>1394.88</v>
      </c>
      <c r="E61" s="118">
        <f>SUM(E56:E60)</f>
        <v>1394.88</v>
      </c>
    </row>
    <row r="62" spans="1:5" s="30" customFormat="1" x14ac:dyDescent="0.25">
      <c r="A62" s="346" t="s">
        <v>155</v>
      </c>
      <c r="B62" s="347"/>
      <c r="C62" s="347"/>
      <c r="D62" s="347"/>
      <c r="E62" s="397"/>
    </row>
    <row r="63" spans="1:5" s="30" customFormat="1" x14ac:dyDescent="0.25">
      <c r="A63" s="257" t="s">
        <v>190</v>
      </c>
      <c r="B63" s="358" t="s">
        <v>36</v>
      </c>
      <c r="C63" s="358"/>
      <c r="D63" s="121" t="s">
        <v>10</v>
      </c>
      <c r="E63" s="122" t="s">
        <v>10</v>
      </c>
    </row>
    <row r="64" spans="1:5" s="30" customFormat="1" x14ac:dyDescent="0.25">
      <c r="A64" s="123" t="s">
        <v>0</v>
      </c>
      <c r="B64" s="124" t="s">
        <v>183</v>
      </c>
      <c r="C64" s="125">
        <f>C29/12</f>
        <v>9.2999999999999992E-3</v>
      </c>
      <c r="D64" s="126">
        <f t="shared" ref="D64:D70" si="0">(D$25+D$53+D$61+D$85)*C64</f>
        <v>307.27</v>
      </c>
      <c r="E64" s="127">
        <f t="shared" ref="E64:E70" si="1">(E$25+E$53+E$61+E$85)*C64</f>
        <v>307.27</v>
      </c>
    </row>
    <row r="65" spans="1:5" s="30" customFormat="1" x14ac:dyDescent="0.25">
      <c r="A65" s="123" t="s">
        <v>2</v>
      </c>
      <c r="B65" s="124" t="s">
        <v>184</v>
      </c>
      <c r="C65" s="125">
        <v>1.3899999999999999E-2</v>
      </c>
      <c r="D65" s="126">
        <f t="shared" si="0"/>
        <v>459.25</v>
      </c>
      <c r="E65" s="127">
        <f t="shared" si="1"/>
        <v>459.25</v>
      </c>
    </row>
    <row r="66" spans="1:5" s="30" customFormat="1" x14ac:dyDescent="0.25">
      <c r="A66" s="123" t="s">
        <v>3</v>
      </c>
      <c r="B66" s="124" t="s">
        <v>187</v>
      </c>
      <c r="C66" s="125">
        <v>1.2999999999999999E-3</v>
      </c>
      <c r="D66" s="126">
        <f t="shared" si="0"/>
        <v>42.95</v>
      </c>
      <c r="E66" s="127">
        <f t="shared" si="1"/>
        <v>42.95</v>
      </c>
    </row>
    <row r="67" spans="1:5" s="30" customFormat="1" x14ac:dyDescent="0.25">
      <c r="A67" s="123" t="s">
        <v>5</v>
      </c>
      <c r="B67" s="124" t="s">
        <v>185</v>
      </c>
      <c r="C67" s="125">
        <v>2.0000000000000001E-4</v>
      </c>
      <c r="D67" s="126">
        <f t="shared" si="0"/>
        <v>6.61</v>
      </c>
      <c r="E67" s="127">
        <f t="shared" si="1"/>
        <v>6.61</v>
      </c>
    </row>
    <row r="68" spans="1:5" s="30" customFormat="1" x14ac:dyDescent="0.25">
      <c r="A68" s="123" t="s">
        <v>20</v>
      </c>
      <c r="B68" s="124" t="s">
        <v>299</v>
      </c>
      <c r="C68" s="125">
        <v>2.8E-3</v>
      </c>
      <c r="D68" s="126">
        <f t="shared" si="0"/>
        <v>92.51</v>
      </c>
      <c r="E68" s="127">
        <f t="shared" si="1"/>
        <v>92.51</v>
      </c>
    </row>
    <row r="69" spans="1:5" s="30" customFormat="1" x14ac:dyDescent="0.25">
      <c r="A69" s="123" t="s">
        <v>21</v>
      </c>
      <c r="B69" s="124" t="s">
        <v>186</v>
      </c>
      <c r="C69" s="125">
        <v>2.9999999999999997E-4</v>
      </c>
      <c r="D69" s="126">
        <f t="shared" si="0"/>
        <v>9.91</v>
      </c>
      <c r="E69" s="127">
        <f t="shared" si="1"/>
        <v>9.91</v>
      </c>
    </row>
    <row r="70" spans="1:5" s="30" customFormat="1" ht="15.75" customHeight="1" x14ac:dyDescent="0.25">
      <c r="A70" s="123" t="s">
        <v>22</v>
      </c>
      <c r="B70" s="256" t="s">
        <v>188</v>
      </c>
      <c r="C70" s="125">
        <v>0</v>
      </c>
      <c r="D70" s="126">
        <f t="shared" si="0"/>
        <v>0</v>
      </c>
      <c r="E70" s="127">
        <f t="shared" si="1"/>
        <v>0</v>
      </c>
    </row>
    <row r="71" spans="1:5" s="30" customFormat="1" x14ac:dyDescent="0.25">
      <c r="A71" s="342" t="s">
        <v>29</v>
      </c>
      <c r="B71" s="343"/>
      <c r="C71" s="135">
        <f>SUM(C64:C70)</f>
        <v>2.7799999999999998E-2</v>
      </c>
      <c r="D71" s="63">
        <f>SUM(D64:D70)</f>
        <v>918.5</v>
      </c>
      <c r="E71" s="64">
        <f>SUM(E64:E70)</f>
        <v>918.5</v>
      </c>
    </row>
    <row r="72" spans="1:5" s="30" customFormat="1" x14ac:dyDescent="0.25">
      <c r="A72" s="259"/>
      <c r="B72" s="260"/>
      <c r="C72" s="155"/>
      <c r="D72" s="155"/>
      <c r="E72" s="148"/>
    </row>
    <row r="73" spans="1:5" s="30" customFormat="1" x14ac:dyDescent="0.25">
      <c r="A73" s="259"/>
      <c r="B73" s="354" t="s">
        <v>192</v>
      </c>
      <c r="C73" s="355"/>
      <c r="D73" s="121" t="s">
        <v>10</v>
      </c>
      <c r="E73" s="122" t="s">
        <v>10</v>
      </c>
    </row>
    <row r="74" spans="1:5" s="30" customFormat="1" x14ac:dyDescent="0.25">
      <c r="A74" s="146" t="s">
        <v>0</v>
      </c>
      <c r="B74" s="249" t="s">
        <v>193</v>
      </c>
      <c r="C74" s="161">
        <v>0</v>
      </c>
      <c r="D74" s="211">
        <v>0</v>
      </c>
      <c r="E74" s="246">
        <v>0</v>
      </c>
    </row>
    <row r="75" spans="1:5" s="30" customFormat="1" ht="15.75" customHeight="1" x14ac:dyDescent="0.25">
      <c r="A75" s="342" t="s">
        <v>27</v>
      </c>
      <c r="B75" s="343"/>
      <c r="C75" s="156">
        <v>0</v>
      </c>
      <c r="D75" s="63">
        <f>D74</f>
        <v>0</v>
      </c>
      <c r="E75" s="64">
        <f>E74</f>
        <v>0</v>
      </c>
    </row>
    <row r="76" spans="1:5" s="30" customFormat="1" ht="15.75" customHeight="1" x14ac:dyDescent="0.25">
      <c r="A76" s="346" t="s">
        <v>30</v>
      </c>
      <c r="B76" s="347"/>
      <c r="C76" s="347"/>
      <c r="D76" s="347"/>
      <c r="E76" s="397"/>
    </row>
    <row r="77" spans="1:5" s="30" customFormat="1" ht="15.75" customHeight="1" x14ac:dyDescent="0.25">
      <c r="A77" s="350" t="s">
        <v>194</v>
      </c>
      <c r="B77" s="351"/>
      <c r="C77" s="351"/>
      <c r="D77" s="351"/>
      <c r="E77" s="400"/>
    </row>
    <row r="78" spans="1:5" s="30" customFormat="1" ht="15.75" customHeight="1" x14ac:dyDescent="0.25">
      <c r="A78" s="257">
        <v>4</v>
      </c>
      <c r="B78" s="356" t="s">
        <v>205</v>
      </c>
      <c r="C78" s="357"/>
      <c r="D78" s="121" t="s">
        <v>10</v>
      </c>
      <c r="E78" s="122" t="s">
        <v>10</v>
      </c>
    </row>
    <row r="79" spans="1:5" s="30" customFormat="1" ht="15.75" customHeight="1" x14ac:dyDescent="0.25">
      <c r="A79" s="123" t="s">
        <v>190</v>
      </c>
      <c r="B79" s="124" t="s">
        <v>189</v>
      </c>
      <c r="C79" s="125">
        <f>C71</f>
        <v>2.7799999999999998E-2</v>
      </c>
      <c r="D79" s="126">
        <f>D71</f>
        <v>918.5</v>
      </c>
      <c r="E79" s="127">
        <f>E71</f>
        <v>918.5</v>
      </c>
    </row>
    <row r="80" spans="1:5" s="30" customFormat="1" ht="15.75" customHeight="1" x14ac:dyDescent="0.25">
      <c r="A80" s="123" t="s">
        <v>206</v>
      </c>
      <c r="B80" s="124" t="s">
        <v>192</v>
      </c>
      <c r="C80" s="125">
        <v>0</v>
      </c>
      <c r="D80" s="126">
        <f>(D$25+D$53+D$61)*C80</f>
        <v>0</v>
      </c>
      <c r="E80" s="127">
        <f>(E$25+E$53+E$61)*C80</f>
        <v>0</v>
      </c>
    </row>
    <row r="81" spans="1:5" s="30" customFormat="1" ht="15.75" customHeight="1" x14ac:dyDescent="0.25">
      <c r="A81" s="342" t="s">
        <v>27</v>
      </c>
      <c r="B81" s="343"/>
      <c r="C81" s="128">
        <f>SUM(C79:C80)</f>
        <v>2.7799999999999998E-2</v>
      </c>
      <c r="D81" s="63">
        <f>SUM(D79:D80)</f>
        <v>918.5</v>
      </c>
      <c r="E81" s="64">
        <f>SUM(E79:E80)</f>
        <v>918.5</v>
      </c>
    </row>
    <row r="82" spans="1:5" s="30" customFormat="1" ht="15.75" customHeight="1" x14ac:dyDescent="0.25">
      <c r="A82" s="344" t="s">
        <v>148</v>
      </c>
      <c r="B82" s="345"/>
      <c r="C82" s="345"/>
      <c r="D82" s="117">
        <f>SUM(D75+D81)</f>
        <v>918.5</v>
      </c>
      <c r="E82" s="118">
        <f>SUM(E75+E81)</f>
        <v>918.5</v>
      </c>
    </row>
    <row r="83" spans="1:5" s="30" customFormat="1" ht="15.75" customHeight="1" x14ac:dyDescent="0.25">
      <c r="A83" s="348" t="s">
        <v>156</v>
      </c>
      <c r="B83" s="349"/>
      <c r="C83" s="349"/>
      <c r="D83" s="349"/>
      <c r="E83" s="399"/>
    </row>
    <row r="84" spans="1:5" s="30" customFormat="1" ht="15.75" customHeight="1" x14ac:dyDescent="0.25">
      <c r="A84" s="257">
        <v>5</v>
      </c>
      <c r="B84" s="356" t="s">
        <v>24</v>
      </c>
      <c r="C84" s="357"/>
      <c r="D84" s="121" t="s">
        <v>10</v>
      </c>
      <c r="E84" s="122" t="s">
        <v>10</v>
      </c>
    </row>
    <row r="85" spans="1:5" s="30" customFormat="1" ht="15.75" customHeight="1" x14ac:dyDescent="0.25">
      <c r="A85" s="123" t="s">
        <v>0</v>
      </c>
      <c r="B85" s="378" t="s">
        <v>207</v>
      </c>
      <c r="C85" s="378"/>
      <c r="D85" s="126">
        <f>Uniformes!H7</f>
        <v>33.93</v>
      </c>
      <c r="E85" s="127">
        <f>Uniformes!H7</f>
        <v>33.93</v>
      </c>
    </row>
    <row r="86" spans="1:5" s="30" customFormat="1" ht="15.75" customHeight="1" x14ac:dyDescent="0.25">
      <c r="A86" s="123" t="s">
        <v>2</v>
      </c>
      <c r="B86" s="378" t="s">
        <v>208</v>
      </c>
      <c r="C86" s="378"/>
      <c r="D86" s="126">
        <f>Materiais!H19</f>
        <v>40.090000000000003</v>
      </c>
      <c r="E86" s="127">
        <f>Materiais!H21</f>
        <v>40.090000000000003</v>
      </c>
    </row>
    <row r="87" spans="1:5" s="30" customFormat="1" ht="15.75" customHeight="1" x14ac:dyDescent="0.25">
      <c r="A87" s="123" t="s">
        <v>3</v>
      </c>
      <c r="B87" s="378" t="s">
        <v>178</v>
      </c>
      <c r="C87" s="378"/>
      <c r="D87" s="76">
        <f>Equipamentos!H19</f>
        <v>765.63</v>
      </c>
      <c r="E87" s="148">
        <f>Equipamentos!H21</f>
        <v>765.63</v>
      </c>
    </row>
    <row r="88" spans="1:5" s="30" customFormat="1" ht="15.75" customHeight="1" x14ac:dyDescent="0.25">
      <c r="A88" s="123" t="s">
        <v>5</v>
      </c>
      <c r="B88" s="378" t="s">
        <v>132</v>
      </c>
      <c r="C88" s="378"/>
      <c r="D88" s="126">
        <v>0</v>
      </c>
      <c r="E88" s="127">
        <v>0</v>
      </c>
    </row>
    <row r="89" spans="1:5" s="30" customFormat="1" ht="15.75" customHeight="1" x14ac:dyDescent="0.25">
      <c r="A89" s="344" t="s">
        <v>149</v>
      </c>
      <c r="B89" s="345"/>
      <c r="C89" s="345"/>
      <c r="D89" s="117">
        <f>SUM(D85:D88)</f>
        <v>839.65</v>
      </c>
      <c r="E89" s="118">
        <f>SUM(E85:E88)</f>
        <v>839.65</v>
      </c>
    </row>
    <row r="90" spans="1:5" s="30" customFormat="1" ht="30" customHeight="1" x14ac:dyDescent="0.25">
      <c r="A90" s="348" t="s">
        <v>37</v>
      </c>
      <c r="B90" s="349"/>
      <c r="C90" s="349"/>
      <c r="D90" s="159">
        <f>D89+D82+D61+D53+D25</f>
        <v>34764.129999999997</v>
      </c>
      <c r="E90" s="160">
        <f>E89+E82+E61+E53+E25</f>
        <v>34764.129999999997</v>
      </c>
    </row>
    <row r="91" spans="1:5" s="30" customFormat="1" ht="19.5" customHeight="1" x14ac:dyDescent="0.25">
      <c r="A91" s="346" t="s">
        <v>157</v>
      </c>
      <c r="B91" s="347"/>
      <c r="C91" s="347"/>
      <c r="D91" s="347"/>
      <c r="E91" s="397"/>
    </row>
    <row r="92" spans="1:5" s="30" customFormat="1" x14ac:dyDescent="0.25">
      <c r="A92" s="257">
        <v>6</v>
      </c>
      <c r="B92" s="356" t="s">
        <v>38</v>
      </c>
      <c r="C92" s="372"/>
      <c r="D92" s="121" t="s">
        <v>10</v>
      </c>
      <c r="E92" s="122" t="s">
        <v>10</v>
      </c>
    </row>
    <row r="93" spans="1:5" s="30" customFormat="1" x14ac:dyDescent="0.25">
      <c r="A93" s="123" t="s">
        <v>0</v>
      </c>
      <c r="B93" s="124" t="s">
        <v>39</v>
      </c>
      <c r="C93" s="161">
        <v>0.05</v>
      </c>
      <c r="D93" s="126">
        <f>D90*C93</f>
        <v>1738.21</v>
      </c>
      <c r="E93" s="127">
        <f>E90*C93</f>
        <v>1738.21</v>
      </c>
    </row>
    <row r="94" spans="1:5" s="30" customFormat="1" x14ac:dyDescent="0.25">
      <c r="A94" s="123" t="s">
        <v>2</v>
      </c>
      <c r="B94" s="124" t="s">
        <v>40</v>
      </c>
      <c r="C94" s="161">
        <v>0.1</v>
      </c>
      <c r="D94" s="126">
        <f>C94*(D90+D93)</f>
        <v>3650.23</v>
      </c>
      <c r="E94" s="127">
        <f>C94*(E90+E93)</f>
        <v>3650.23</v>
      </c>
    </row>
    <row r="95" spans="1:5" s="30" customFormat="1" ht="30" x14ac:dyDescent="0.25">
      <c r="A95" s="123"/>
      <c r="B95" s="124" t="s">
        <v>47</v>
      </c>
      <c r="C95" s="125">
        <f>1-C102</f>
        <v>0.85750000000000004</v>
      </c>
      <c r="D95" s="126">
        <f>D90+D93+D94</f>
        <v>40152.57</v>
      </c>
      <c r="E95" s="127">
        <f>E90+E93+E94</f>
        <v>40152.57</v>
      </c>
    </row>
    <row r="96" spans="1:5" s="30" customFormat="1" x14ac:dyDescent="0.25">
      <c r="A96" s="123"/>
      <c r="B96" s="256"/>
      <c r="C96" s="40"/>
      <c r="D96" s="162">
        <f>+D95/C95</f>
        <v>46825.15</v>
      </c>
      <c r="E96" s="163">
        <f>+E95/C95</f>
        <v>46825.15</v>
      </c>
    </row>
    <row r="97" spans="1:5" s="30" customFormat="1" x14ac:dyDescent="0.25">
      <c r="A97" s="123" t="s">
        <v>3</v>
      </c>
      <c r="B97" s="256" t="s">
        <v>41</v>
      </c>
      <c r="C97" s="164">
        <f>C99+C100+C101</f>
        <v>0.14249999999999999</v>
      </c>
      <c r="D97" s="162"/>
      <c r="E97" s="163"/>
    </row>
    <row r="98" spans="1:5" s="30" customFormat="1" x14ac:dyDescent="0.25">
      <c r="A98" s="123" t="s">
        <v>292</v>
      </c>
      <c r="B98" s="256" t="s">
        <v>288</v>
      </c>
      <c r="C98" s="206">
        <f>C99+C100</f>
        <v>9.2499999999999999E-2</v>
      </c>
      <c r="D98" s="126"/>
      <c r="E98" s="127"/>
    </row>
    <row r="99" spans="1:5" s="30" customFormat="1" x14ac:dyDescent="0.25">
      <c r="A99" s="123" t="s">
        <v>293</v>
      </c>
      <c r="B99" s="124" t="s">
        <v>289</v>
      </c>
      <c r="C99" s="125">
        <v>1.6500000000000001E-2</v>
      </c>
      <c r="D99" s="126">
        <f>+D96*C99</f>
        <v>772.61</v>
      </c>
      <c r="E99" s="127">
        <f>+E96*C99</f>
        <v>772.61</v>
      </c>
    </row>
    <row r="100" spans="1:5" s="30" customFormat="1" x14ac:dyDescent="0.25">
      <c r="A100" s="123" t="s">
        <v>294</v>
      </c>
      <c r="B100" s="124" t="s">
        <v>290</v>
      </c>
      <c r="C100" s="125">
        <v>7.5999999999999998E-2</v>
      </c>
      <c r="D100" s="126">
        <f>+D96*C100</f>
        <v>3558.71</v>
      </c>
      <c r="E100" s="127">
        <f>+E96*C100</f>
        <v>3558.71</v>
      </c>
    </row>
    <row r="101" spans="1:5" s="30" customFormat="1" x14ac:dyDescent="0.25">
      <c r="A101" s="123" t="s">
        <v>295</v>
      </c>
      <c r="B101" s="124" t="s">
        <v>291</v>
      </c>
      <c r="C101" s="125">
        <v>0.05</v>
      </c>
      <c r="D101" s="126">
        <f>+D96*C101</f>
        <v>2341.2600000000002</v>
      </c>
      <c r="E101" s="127">
        <f>+E96*C101</f>
        <v>2341.2600000000002</v>
      </c>
    </row>
    <row r="102" spans="1:5" s="30" customFormat="1" x14ac:dyDescent="0.25">
      <c r="A102" s="257"/>
      <c r="B102" s="157" t="s">
        <v>42</v>
      </c>
      <c r="C102" s="165">
        <f>C97</f>
        <v>0.14249999999999999</v>
      </c>
      <c r="D102" s="166">
        <f>SUM(D99:D101)</f>
        <v>6672.58</v>
      </c>
      <c r="E102" s="167">
        <f>SUM(E99:E101)</f>
        <v>6672.58</v>
      </c>
    </row>
    <row r="103" spans="1:5" s="30" customFormat="1" ht="15.75" customHeight="1" x14ac:dyDescent="0.25">
      <c r="A103" s="342" t="s">
        <v>43</v>
      </c>
      <c r="B103" s="343"/>
      <c r="C103" s="343"/>
      <c r="D103" s="63">
        <f>+D93+D94+D102</f>
        <v>12061.02</v>
      </c>
      <c r="E103" s="64">
        <f>+E93+E94+E102</f>
        <v>12061.02</v>
      </c>
    </row>
    <row r="104" spans="1:5" s="30" customFormat="1" ht="15.75" customHeight="1" x14ac:dyDescent="0.25">
      <c r="A104" s="360" t="s">
        <v>44</v>
      </c>
      <c r="B104" s="361"/>
      <c r="C104" s="361"/>
      <c r="D104" s="255" t="s">
        <v>10</v>
      </c>
      <c r="E104" s="200" t="s">
        <v>10</v>
      </c>
    </row>
    <row r="105" spans="1:5" s="30" customFormat="1" x14ac:dyDescent="0.25">
      <c r="A105" s="123" t="s">
        <v>0</v>
      </c>
      <c r="B105" s="362" t="s">
        <v>45</v>
      </c>
      <c r="C105" s="362"/>
      <c r="D105" s="126">
        <f>D25</f>
        <v>19346.55</v>
      </c>
      <c r="E105" s="127">
        <f>E25</f>
        <v>19346.55</v>
      </c>
    </row>
    <row r="106" spans="1:5" s="30" customFormat="1" x14ac:dyDescent="0.25">
      <c r="A106" s="123" t="s">
        <v>2</v>
      </c>
      <c r="B106" s="362" t="s">
        <v>152</v>
      </c>
      <c r="C106" s="362"/>
      <c r="D106" s="126">
        <f>D53</f>
        <v>12264.55</v>
      </c>
      <c r="E106" s="127">
        <f>E53</f>
        <v>12264.55</v>
      </c>
    </row>
    <row r="107" spans="1:5" s="30" customFormat="1" x14ac:dyDescent="0.25">
      <c r="A107" s="123" t="s">
        <v>3</v>
      </c>
      <c r="B107" s="362" t="s">
        <v>150</v>
      </c>
      <c r="C107" s="362"/>
      <c r="D107" s="126">
        <f>D61</f>
        <v>1394.88</v>
      </c>
      <c r="E107" s="127">
        <f>E61</f>
        <v>1394.88</v>
      </c>
    </row>
    <row r="108" spans="1:5" s="30" customFormat="1" x14ac:dyDescent="0.25">
      <c r="A108" s="123" t="s">
        <v>5</v>
      </c>
      <c r="B108" s="362" t="s">
        <v>143</v>
      </c>
      <c r="C108" s="362"/>
      <c r="D108" s="126">
        <f>D82</f>
        <v>918.5</v>
      </c>
      <c r="E108" s="127">
        <f>E82</f>
        <v>918.5</v>
      </c>
    </row>
    <row r="109" spans="1:5" s="30" customFormat="1" x14ac:dyDescent="0.25">
      <c r="A109" s="123" t="s">
        <v>20</v>
      </c>
      <c r="B109" s="362" t="s">
        <v>151</v>
      </c>
      <c r="C109" s="362"/>
      <c r="D109" s="126">
        <f>D89</f>
        <v>839.65</v>
      </c>
      <c r="E109" s="127">
        <f>E89</f>
        <v>839.65</v>
      </c>
    </row>
    <row r="110" spans="1:5" s="30" customFormat="1" ht="15.75" customHeight="1" x14ac:dyDescent="0.25">
      <c r="A110" s="363" t="s">
        <v>296</v>
      </c>
      <c r="B110" s="364"/>
      <c r="C110" s="364"/>
      <c r="D110" s="166">
        <f>SUM(D105:D109)</f>
        <v>34764.129999999997</v>
      </c>
      <c r="E110" s="167">
        <f>SUM(E105:E109)</f>
        <v>34764.129999999997</v>
      </c>
    </row>
    <row r="111" spans="1:5" s="30" customFormat="1" x14ac:dyDescent="0.25">
      <c r="A111" s="123" t="s">
        <v>21</v>
      </c>
      <c r="B111" s="362" t="s">
        <v>153</v>
      </c>
      <c r="C111" s="362"/>
      <c r="D111" s="126">
        <f>+D103</f>
        <v>12061.02</v>
      </c>
      <c r="E111" s="127">
        <f>+E103</f>
        <v>12061.02</v>
      </c>
    </row>
    <row r="112" spans="1:5" s="30" customFormat="1" ht="16.5" customHeight="1" thickBot="1" x14ac:dyDescent="0.3">
      <c r="A112" s="370" t="s">
        <v>46</v>
      </c>
      <c r="B112" s="371"/>
      <c r="C112" s="371"/>
      <c r="D112" s="170">
        <f>+D110+D111</f>
        <v>46825.15</v>
      </c>
      <c r="E112" s="171">
        <f>+E110+E111</f>
        <v>46825.15</v>
      </c>
    </row>
    <row r="113" spans="1:5" ht="16.5" thickBot="1" x14ac:dyDescent="0.3">
      <c r="A113" s="412" t="s">
        <v>219</v>
      </c>
      <c r="B113" s="413"/>
      <c r="C113" s="413"/>
      <c r="D113" s="413"/>
      <c r="E113" s="414"/>
    </row>
    <row r="114" spans="1:5" x14ac:dyDescent="0.25">
      <c r="A114" s="401" t="s">
        <v>298</v>
      </c>
      <c r="B114" s="402"/>
      <c r="C114" s="402"/>
      <c r="D114" s="402"/>
      <c r="E114" s="403"/>
    </row>
    <row r="115" spans="1:5" x14ac:dyDescent="0.25">
      <c r="A115" s="404"/>
      <c r="B115" s="405"/>
      <c r="C115" s="405"/>
      <c r="D115" s="405"/>
      <c r="E115" s="406"/>
    </row>
    <row r="116" spans="1:5" x14ac:dyDescent="0.25">
      <c r="A116" s="404"/>
      <c r="B116" s="405"/>
      <c r="C116" s="405"/>
      <c r="D116" s="405"/>
      <c r="E116" s="406"/>
    </row>
    <row r="117" spans="1:5" x14ac:dyDescent="0.25">
      <c r="A117" s="404"/>
      <c r="B117" s="405"/>
      <c r="C117" s="405"/>
      <c r="D117" s="405"/>
      <c r="E117" s="406"/>
    </row>
    <row r="118" spans="1:5" x14ac:dyDescent="0.25">
      <c r="A118" s="404"/>
      <c r="B118" s="405"/>
      <c r="C118" s="405"/>
      <c r="D118" s="405"/>
      <c r="E118" s="406"/>
    </row>
    <row r="119" spans="1:5" x14ac:dyDescent="0.25">
      <c r="A119" s="404"/>
      <c r="B119" s="405"/>
      <c r="C119" s="405"/>
      <c r="D119" s="405"/>
      <c r="E119" s="406"/>
    </row>
    <row r="120" spans="1:5" x14ac:dyDescent="0.25">
      <c r="A120" s="404"/>
      <c r="B120" s="405"/>
      <c r="C120" s="405"/>
      <c r="D120" s="405"/>
      <c r="E120" s="406"/>
    </row>
    <row r="121" spans="1:5" x14ac:dyDescent="0.25">
      <c r="A121" s="404"/>
      <c r="B121" s="405"/>
      <c r="C121" s="405"/>
      <c r="D121" s="405"/>
      <c r="E121" s="406"/>
    </row>
    <row r="122" spans="1:5" ht="16.5" thickBot="1" x14ac:dyDescent="0.3">
      <c r="A122" s="407"/>
      <c r="B122" s="408"/>
      <c r="C122" s="408"/>
      <c r="D122" s="408"/>
      <c r="E122" s="409"/>
    </row>
    <row r="124" spans="1:5" x14ac:dyDescent="0.25">
      <c r="B124" s="28"/>
    </row>
  </sheetData>
  <mergeCells count="64">
    <mergeCell ref="A112:C112"/>
    <mergeCell ref="A113:E113"/>
    <mergeCell ref="B106:C106"/>
    <mergeCell ref="B107:C107"/>
    <mergeCell ref="B108:C108"/>
    <mergeCell ref="B109:C109"/>
    <mergeCell ref="A110:C110"/>
    <mergeCell ref="B111:C111"/>
    <mergeCell ref="B105:C105"/>
    <mergeCell ref="B85:C85"/>
    <mergeCell ref="B86:C86"/>
    <mergeCell ref="B87:C87"/>
    <mergeCell ref="B88:C88"/>
    <mergeCell ref="A89:C89"/>
    <mergeCell ref="A90:C90"/>
    <mergeCell ref="A91:E91"/>
    <mergeCell ref="B92:C92"/>
    <mergeCell ref="A103:C103"/>
    <mergeCell ref="A104:C104"/>
    <mergeCell ref="B55:C55"/>
    <mergeCell ref="A61:B61"/>
    <mergeCell ref="B84:C84"/>
    <mergeCell ref="A62:E62"/>
    <mergeCell ref="B63:C63"/>
    <mergeCell ref="A71:B71"/>
    <mergeCell ref="B73:C73"/>
    <mergeCell ref="A75:B75"/>
    <mergeCell ref="A76:E76"/>
    <mergeCell ref="A77:E77"/>
    <mergeCell ref="B78:C78"/>
    <mergeCell ref="A81:B81"/>
    <mergeCell ref="A82:C82"/>
    <mergeCell ref="A83:E83"/>
    <mergeCell ref="B42:C42"/>
    <mergeCell ref="A48:C48"/>
    <mergeCell ref="A49:E49"/>
    <mergeCell ref="A53:C53"/>
    <mergeCell ref="A54:E54"/>
    <mergeCell ref="B27:C27"/>
    <mergeCell ref="A30:B30"/>
    <mergeCell ref="A31:E31"/>
    <mergeCell ref="B32:C32"/>
    <mergeCell ref="A41:B41"/>
    <mergeCell ref="A16:C16"/>
    <mergeCell ref="B17:C17"/>
    <mergeCell ref="A25:C25"/>
    <mergeCell ref="C13:E13"/>
    <mergeCell ref="D11:E11"/>
    <mergeCell ref="A114:E122"/>
    <mergeCell ref="C6:E6"/>
    <mergeCell ref="A1:E1"/>
    <mergeCell ref="A2:E2"/>
    <mergeCell ref="A3:E3"/>
    <mergeCell ref="C4:E4"/>
    <mergeCell ref="C5:E5"/>
    <mergeCell ref="A26:C26"/>
    <mergeCell ref="C7:E7"/>
    <mergeCell ref="A8:E8"/>
    <mergeCell ref="A9:E9"/>
    <mergeCell ref="A10:E10"/>
    <mergeCell ref="A11:C11"/>
    <mergeCell ref="C12:E12"/>
    <mergeCell ref="C14:E14"/>
    <mergeCell ref="C15:E15"/>
  </mergeCells>
  <hyperlinks>
    <hyperlink ref="B38" r:id="rId1" display="08 - Sebrae 0,3% ou 0,6% - IN nº 03, MPS/SRP/2005, Anexo II e III ver código da Tabela" xr:uid="{00000000-0004-0000-0900-000000000000}"/>
  </hyperlinks>
  <pageMargins left="0.511811024" right="0.511811024" top="0.78740157499999996" bottom="0.78740157499999996" header="0.31496062000000002" footer="0.31496062000000002"/>
  <pageSetup paperSize="9" scale="34" orientation="portrait"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24"/>
  <sheetViews>
    <sheetView view="pageBreakPreview" topLeftCell="A98" zoomScaleNormal="115" zoomScaleSheetLayoutView="100" workbookViewId="0">
      <selection activeCell="E21" sqref="E21"/>
    </sheetView>
  </sheetViews>
  <sheetFormatPr defaultColWidth="9.140625" defaultRowHeight="15.75" x14ac:dyDescent="0.25"/>
  <cols>
    <col min="1" max="1" width="8.7109375" style="29" customWidth="1"/>
    <col min="2" max="2" width="72.5703125" style="31" customWidth="1"/>
    <col min="3" max="4" width="15.7109375" style="32" customWidth="1"/>
    <col min="5" max="5" width="15.7109375" style="28" customWidth="1"/>
    <col min="6" max="6" width="9.140625" style="28" customWidth="1"/>
    <col min="7" max="16384" width="9.140625" style="28"/>
  </cols>
  <sheetData>
    <row r="1" spans="1:5" x14ac:dyDescent="0.25">
      <c r="A1" s="331"/>
      <c r="B1" s="332"/>
      <c r="C1" s="332"/>
      <c r="D1" s="332"/>
      <c r="E1" s="333"/>
    </row>
    <row r="2" spans="1:5" s="38" customFormat="1" ht="16.5" customHeight="1" x14ac:dyDescent="0.25">
      <c r="A2" s="367" t="s">
        <v>127</v>
      </c>
      <c r="B2" s="368"/>
      <c r="C2" s="368"/>
      <c r="D2" s="368"/>
      <c r="E2" s="369"/>
    </row>
    <row r="3" spans="1:5" s="38" customFormat="1" x14ac:dyDescent="0.25">
      <c r="A3" s="325" t="s">
        <v>126</v>
      </c>
      <c r="B3" s="326"/>
      <c r="C3" s="326"/>
      <c r="D3" s="326"/>
      <c r="E3" s="327"/>
    </row>
    <row r="4" spans="1:5" s="38" customFormat="1" ht="15" customHeight="1" x14ac:dyDescent="0.25">
      <c r="A4" s="74" t="s">
        <v>0</v>
      </c>
      <c r="B4" s="102" t="s">
        <v>1</v>
      </c>
      <c r="C4" s="334">
        <v>2025</v>
      </c>
      <c r="D4" s="334"/>
      <c r="E4" s="335"/>
    </row>
    <row r="5" spans="1:5" s="38" customFormat="1" ht="75" customHeight="1" x14ac:dyDescent="0.25">
      <c r="A5" s="74" t="s">
        <v>2</v>
      </c>
      <c r="B5" s="102" t="s">
        <v>135</v>
      </c>
      <c r="C5" s="336" t="s">
        <v>242</v>
      </c>
      <c r="D5" s="336"/>
      <c r="E5" s="337"/>
    </row>
    <row r="6" spans="1:5" s="38" customFormat="1" ht="15.75" customHeight="1" x14ac:dyDescent="0.25">
      <c r="A6" s="74" t="s">
        <v>3</v>
      </c>
      <c r="B6" s="102" t="s">
        <v>4</v>
      </c>
      <c r="C6" s="336"/>
      <c r="D6" s="336"/>
      <c r="E6" s="337"/>
    </row>
    <row r="7" spans="1:5" s="38" customFormat="1" x14ac:dyDescent="0.25">
      <c r="A7" s="74" t="s">
        <v>5</v>
      </c>
      <c r="B7" s="102" t="s">
        <v>300</v>
      </c>
      <c r="C7" s="336">
        <v>12</v>
      </c>
      <c r="D7" s="336"/>
      <c r="E7" s="337"/>
    </row>
    <row r="8" spans="1:5" s="38" customFormat="1" x14ac:dyDescent="0.25">
      <c r="A8" s="325" t="s">
        <v>6</v>
      </c>
      <c r="B8" s="326"/>
      <c r="C8" s="326"/>
      <c r="D8" s="326"/>
      <c r="E8" s="327"/>
    </row>
    <row r="9" spans="1:5" s="38" customFormat="1" x14ac:dyDescent="0.25">
      <c r="A9" s="325" t="s">
        <v>7</v>
      </c>
      <c r="B9" s="326"/>
      <c r="C9" s="326"/>
      <c r="D9" s="326"/>
      <c r="E9" s="327"/>
    </row>
    <row r="10" spans="1:5" s="38" customFormat="1" ht="15.75" customHeight="1" x14ac:dyDescent="0.25">
      <c r="A10" s="325" t="s">
        <v>8</v>
      </c>
      <c r="B10" s="326"/>
      <c r="C10" s="326"/>
      <c r="D10" s="326"/>
      <c r="E10" s="327"/>
    </row>
    <row r="11" spans="1:5" s="38" customFormat="1" ht="30" customHeight="1" x14ac:dyDescent="0.25">
      <c r="A11" s="328" t="s">
        <v>9</v>
      </c>
      <c r="B11" s="329"/>
      <c r="C11" s="329"/>
      <c r="D11" s="394" t="s">
        <v>10</v>
      </c>
      <c r="E11" s="395"/>
    </row>
    <row r="12" spans="1:5" s="38" customFormat="1" ht="60" customHeight="1" x14ac:dyDescent="0.25">
      <c r="A12" s="74">
        <v>1</v>
      </c>
      <c r="B12" s="247" t="s">
        <v>128</v>
      </c>
      <c r="C12" s="381" t="s">
        <v>243</v>
      </c>
      <c r="D12" s="381"/>
      <c r="E12" s="382"/>
    </row>
    <row r="13" spans="1:5" s="38" customFormat="1" ht="30" customHeight="1" x14ac:dyDescent="0.25">
      <c r="A13" s="74">
        <v>2</v>
      </c>
      <c r="B13" s="247" t="s">
        <v>11</v>
      </c>
      <c r="C13" s="410">
        <f>(13581.68+(13581.68*10.18%)+(14964.25*8.9%)+(16296.07*6.97%)+(17431.95*7.5%))</f>
        <v>18739.349999999999</v>
      </c>
      <c r="D13" s="410"/>
      <c r="E13" s="411"/>
    </row>
    <row r="14" spans="1:5" s="38" customFormat="1" ht="15.95" customHeight="1" x14ac:dyDescent="0.25">
      <c r="A14" s="74">
        <v>3</v>
      </c>
      <c r="B14" s="247" t="s">
        <v>12</v>
      </c>
      <c r="C14" s="381" t="s">
        <v>224</v>
      </c>
      <c r="D14" s="381"/>
      <c r="E14" s="382"/>
    </row>
    <row r="15" spans="1:5" s="38" customFormat="1" x14ac:dyDescent="0.25">
      <c r="A15" s="74">
        <v>4</v>
      </c>
      <c r="B15" s="248" t="s">
        <v>13</v>
      </c>
      <c r="C15" s="383">
        <v>2025</v>
      </c>
      <c r="D15" s="383"/>
      <c r="E15" s="384"/>
    </row>
    <row r="16" spans="1:5" s="39" customFormat="1" ht="30" x14ac:dyDescent="0.25">
      <c r="A16" s="346" t="s">
        <v>14</v>
      </c>
      <c r="B16" s="347"/>
      <c r="C16" s="347"/>
      <c r="D16" s="252" t="s">
        <v>250</v>
      </c>
      <c r="E16" s="264" t="s">
        <v>249</v>
      </c>
    </row>
    <row r="17" spans="1:5" s="39" customFormat="1" x14ac:dyDescent="0.25">
      <c r="A17" s="259">
        <v>1</v>
      </c>
      <c r="B17" s="354" t="s">
        <v>15</v>
      </c>
      <c r="C17" s="354"/>
      <c r="D17" s="103" t="s">
        <v>10</v>
      </c>
      <c r="E17" s="104" t="s">
        <v>10</v>
      </c>
    </row>
    <row r="18" spans="1:5" s="38" customFormat="1" ht="15.75" customHeight="1" x14ac:dyDescent="0.25">
      <c r="A18" s="105" t="s">
        <v>0</v>
      </c>
      <c r="B18" s="106" t="s">
        <v>16</v>
      </c>
      <c r="C18" s="248"/>
      <c r="D18" s="76">
        <f>C13</f>
        <v>18739.349999999999</v>
      </c>
      <c r="E18" s="148">
        <f>C13</f>
        <v>18739.349999999999</v>
      </c>
    </row>
    <row r="19" spans="1:5" s="38" customFormat="1" ht="15.75" customHeight="1" x14ac:dyDescent="0.25">
      <c r="A19" s="105" t="s">
        <v>2</v>
      </c>
      <c r="B19" s="106" t="s">
        <v>17</v>
      </c>
      <c r="C19" s="114"/>
      <c r="D19" s="112"/>
      <c r="E19" s="113"/>
    </row>
    <row r="20" spans="1:5" s="38" customFormat="1" ht="15.75" customHeight="1" x14ac:dyDescent="0.25">
      <c r="A20" s="105" t="s">
        <v>3</v>
      </c>
      <c r="B20" s="106" t="s">
        <v>18</v>
      </c>
      <c r="C20" s="111">
        <v>1518</v>
      </c>
      <c r="D20" s="112">
        <f>40%*C20</f>
        <v>607.20000000000005</v>
      </c>
      <c r="E20" s="113">
        <f>40%*C20</f>
        <v>607.20000000000005</v>
      </c>
    </row>
    <row r="21" spans="1:5" s="38" customFormat="1" ht="15.75" customHeight="1" x14ac:dyDescent="0.25">
      <c r="A21" s="105" t="s">
        <v>5</v>
      </c>
      <c r="B21" s="106" t="s">
        <v>19</v>
      </c>
      <c r="C21" s="114"/>
      <c r="D21" s="112">
        <f>((((D18+D20)/220)*20%)*8)*15.21</f>
        <v>2140.08</v>
      </c>
      <c r="E21" s="113">
        <f>((((E18+E20)/220)*20%)*8)*15.21</f>
        <v>2140.08</v>
      </c>
    </row>
    <row r="22" spans="1:5" s="38" customFormat="1" ht="15.75" customHeight="1" x14ac:dyDescent="0.25">
      <c r="A22" s="105" t="s">
        <v>20</v>
      </c>
      <c r="B22" s="106" t="s">
        <v>195</v>
      </c>
      <c r="C22" s="114"/>
      <c r="D22" s="112"/>
      <c r="E22" s="113"/>
    </row>
    <row r="23" spans="1:5" s="38" customFormat="1" x14ac:dyDescent="0.25">
      <c r="A23" s="105" t="s">
        <v>21</v>
      </c>
      <c r="B23" s="106" t="s">
        <v>133</v>
      </c>
      <c r="C23" s="115"/>
      <c r="D23" s="112"/>
      <c r="E23" s="113"/>
    </row>
    <row r="24" spans="1:5" s="38" customFormat="1" ht="15.75" customHeight="1" x14ac:dyDescent="0.25">
      <c r="A24" s="105" t="s">
        <v>22</v>
      </c>
      <c r="B24" s="116" t="s">
        <v>134</v>
      </c>
      <c r="C24" s="115"/>
      <c r="D24" s="112"/>
      <c r="E24" s="113"/>
    </row>
    <row r="25" spans="1:5" s="39" customFormat="1" ht="15.75" customHeight="1" x14ac:dyDescent="0.25">
      <c r="A25" s="344" t="s">
        <v>145</v>
      </c>
      <c r="B25" s="345"/>
      <c r="C25" s="345"/>
      <c r="D25" s="117">
        <f>SUM(D18:D24)</f>
        <v>21486.63</v>
      </c>
      <c r="E25" s="118">
        <f>SUM(E18:E24)</f>
        <v>21486.63</v>
      </c>
    </row>
    <row r="26" spans="1:5" s="39" customFormat="1" x14ac:dyDescent="0.25">
      <c r="A26" s="346" t="s">
        <v>48</v>
      </c>
      <c r="B26" s="347"/>
      <c r="C26" s="347"/>
      <c r="D26" s="253"/>
      <c r="E26" s="245"/>
    </row>
    <row r="27" spans="1:5" s="38" customFormat="1" x14ac:dyDescent="0.25">
      <c r="A27" s="257">
        <v>2</v>
      </c>
      <c r="B27" s="356" t="s">
        <v>196</v>
      </c>
      <c r="C27" s="372"/>
      <c r="D27" s="121" t="s">
        <v>10</v>
      </c>
      <c r="E27" s="122" t="s">
        <v>10</v>
      </c>
    </row>
    <row r="28" spans="1:5" s="38" customFormat="1" x14ac:dyDescent="0.25">
      <c r="A28" s="123" t="s">
        <v>0</v>
      </c>
      <c r="B28" s="124" t="s">
        <v>28</v>
      </c>
      <c r="C28" s="125">
        <f>1/12</f>
        <v>8.3299999999999999E-2</v>
      </c>
      <c r="D28" s="126">
        <f>(D25)*C28</f>
        <v>1789.84</v>
      </c>
      <c r="E28" s="127">
        <f>(E25)*C28</f>
        <v>1789.84</v>
      </c>
    </row>
    <row r="29" spans="1:5" s="38" customFormat="1" x14ac:dyDescent="0.25">
      <c r="A29" s="123" t="s">
        <v>2</v>
      </c>
      <c r="B29" s="124" t="s">
        <v>141</v>
      </c>
      <c r="C29" s="125">
        <v>0.1111</v>
      </c>
      <c r="D29" s="126">
        <f>(D25)*C29</f>
        <v>2387.16</v>
      </c>
      <c r="E29" s="127">
        <f>(E25)*C29</f>
        <v>2387.16</v>
      </c>
    </row>
    <row r="30" spans="1:5" x14ac:dyDescent="0.25">
      <c r="A30" s="342" t="s">
        <v>27</v>
      </c>
      <c r="B30" s="343"/>
      <c r="C30" s="128">
        <f>SUM(C28:C29)</f>
        <v>0.19439999999999999</v>
      </c>
      <c r="D30" s="63">
        <f>SUM(D28:D29)</f>
        <v>4177</v>
      </c>
      <c r="E30" s="64">
        <f>SUM(E28:E29)</f>
        <v>4177</v>
      </c>
    </row>
    <row r="31" spans="1:5" ht="32.25" customHeight="1" x14ac:dyDescent="0.25">
      <c r="A31" s="375" t="s">
        <v>197</v>
      </c>
      <c r="B31" s="376"/>
      <c r="C31" s="376"/>
      <c r="D31" s="376"/>
      <c r="E31" s="377"/>
    </row>
    <row r="32" spans="1:5" x14ac:dyDescent="0.25">
      <c r="A32" s="251" t="s">
        <v>200</v>
      </c>
      <c r="B32" s="373" t="s">
        <v>25</v>
      </c>
      <c r="C32" s="374"/>
      <c r="D32" s="129" t="s">
        <v>10</v>
      </c>
      <c r="E32" s="130" t="s">
        <v>10</v>
      </c>
    </row>
    <row r="33" spans="1:5" x14ac:dyDescent="0.25">
      <c r="A33" s="123" t="s">
        <v>0</v>
      </c>
      <c r="B33" s="131" t="s">
        <v>301</v>
      </c>
      <c r="C33" s="125">
        <v>0.2</v>
      </c>
      <c r="D33" s="126">
        <f>(D25+D30)*C33</f>
        <v>5132.7299999999996</v>
      </c>
      <c r="E33" s="127">
        <f>(E25+E30)*C33</f>
        <v>5132.7299999999996</v>
      </c>
    </row>
    <row r="34" spans="1:5" x14ac:dyDescent="0.25">
      <c r="A34" s="123" t="s">
        <v>2</v>
      </c>
      <c r="B34" s="131" t="s">
        <v>302</v>
      </c>
      <c r="C34" s="132">
        <v>2.5000000000000001E-2</v>
      </c>
      <c r="D34" s="126">
        <f>(D25+D30)*C34</f>
        <v>641.59</v>
      </c>
      <c r="E34" s="127">
        <f>(E25+E30)*C34</f>
        <v>641.59</v>
      </c>
    </row>
    <row r="35" spans="1:5" ht="45" x14ac:dyDescent="0.25">
      <c r="A35" s="123" t="s">
        <v>3</v>
      </c>
      <c r="B35" s="250" t="s">
        <v>303</v>
      </c>
      <c r="C35" s="132">
        <v>0.03</v>
      </c>
      <c r="D35" s="126">
        <f>(D25+D30)*C35</f>
        <v>769.91</v>
      </c>
      <c r="E35" s="127">
        <f>(E25+E30)*C35</f>
        <v>769.91</v>
      </c>
    </row>
    <row r="36" spans="1:5" x14ac:dyDescent="0.25">
      <c r="A36" s="123" t="s">
        <v>5</v>
      </c>
      <c r="B36" s="131" t="s">
        <v>304</v>
      </c>
      <c r="C36" s="132">
        <v>1.4999999999999999E-2</v>
      </c>
      <c r="D36" s="126">
        <f>(D25+D30)*C36</f>
        <v>384.95</v>
      </c>
      <c r="E36" s="127">
        <f>(E25+E30)*C36</f>
        <v>384.95</v>
      </c>
    </row>
    <row r="37" spans="1:5" x14ac:dyDescent="0.25">
      <c r="A37" s="123" t="s">
        <v>20</v>
      </c>
      <c r="B37" s="131" t="s">
        <v>305</v>
      </c>
      <c r="C37" s="132">
        <v>0.01</v>
      </c>
      <c r="D37" s="126">
        <f>(D25+D30)*C37</f>
        <v>256.64</v>
      </c>
      <c r="E37" s="127">
        <f>(E25+E30)*C37</f>
        <v>256.64</v>
      </c>
    </row>
    <row r="38" spans="1:5" x14ac:dyDescent="0.25">
      <c r="A38" s="123" t="s">
        <v>21</v>
      </c>
      <c r="B38" s="133" t="s">
        <v>199</v>
      </c>
      <c r="C38" s="132">
        <v>6.0000000000000001E-3</v>
      </c>
      <c r="D38" s="126">
        <f>(D25+D30)*C38</f>
        <v>153.97999999999999</v>
      </c>
      <c r="E38" s="127">
        <f>(E25+E30)*C38</f>
        <v>153.97999999999999</v>
      </c>
    </row>
    <row r="39" spans="1:5" ht="30.75" customHeight="1" x14ac:dyDescent="0.25">
      <c r="A39" s="123" t="s">
        <v>22</v>
      </c>
      <c r="B39" s="250" t="s">
        <v>306</v>
      </c>
      <c r="C39" s="132">
        <v>2E-3</v>
      </c>
      <c r="D39" s="126">
        <f>(D25+D30)*C39</f>
        <v>51.33</v>
      </c>
      <c r="E39" s="127">
        <f>(E25+E30)*C39</f>
        <v>51.33</v>
      </c>
    </row>
    <row r="40" spans="1:5" x14ac:dyDescent="0.25">
      <c r="A40" s="123" t="s">
        <v>26</v>
      </c>
      <c r="B40" s="134" t="s">
        <v>198</v>
      </c>
      <c r="C40" s="132">
        <v>0.08</v>
      </c>
      <c r="D40" s="126">
        <f>(D25+D30)*C40</f>
        <v>2053.09</v>
      </c>
      <c r="E40" s="127">
        <f>(E25+E30)*C40</f>
        <v>2053.09</v>
      </c>
    </row>
    <row r="41" spans="1:5" s="30" customFormat="1" x14ac:dyDescent="0.25">
      <c r="A41" s="342" t="s">
        <v>27</v>
      </c>
      <c r="B41" s="343"/>
      <c r="C41" s="135">
        <f>SUM(C33:C40)</f>
        <v>0.36799999999999999</v>
      </c>
      <c r="D41" s="63">
        <f>SUM(D33:D40)</f>
        <v>9444.2199999999993</v>
      </c>
      <c r="E41" s="64">
        <f>SUM(E33:E40)</f>
        <v>9444.2199999999993</v>
      </c>
    </row>
    <row r="42" spans="1:5" s="30" customFormat="1" x14ac:dyDescent="0.25">
      <c r="A42" s="138" t="s">
        <v>201</v>
      </c>
      <c r="B42" s="352" t="s">
        <v>202</v>
      </c>
      <c r="C42" s="353"/>
      <c r="D42" s="139" t="s">
        <v>10</v>
      </c>
      <c r="E42" s="140" t="s">
        <v>10</v>
      </c>
    </row>
    <row r="43" spans="1:5" s="30" customFormat="1" x14ac:dyDescent="0.25">
      <c r="A43" s="141" t="s">
        <v>0</v>
      </c>
      <c r="B43" s="142" t="s">
        <v>137</v>
      </c>
      <c r="C43" s="209"/>
      <c r="D43" s="112">
        <v>0</v>
      </c>
      <c r="E43" s="113">
        <v>0</v>
      </c>
    </row>
    <row r="44" spans="1:5" s="30" customFormat="1" x14ac:dyDescent="0.25">
      <c r="A44" s="146" t="s">
        <v>2</v>
      </c>
      <c r="B44" s="116" t="s">
        <v>203</v>
      </c>
      <c r="C44" s="147"/>
      <c r="D44" s="112">
        <v>0</v>
      </c>
      <c r="E44" s="113">
        <v>0</v>
      </c>
    </row>
    <row r="45" spans="1:5" s="30" customFormat="1" x14ac:dyDescent="0.25">
      <c r="A45" s="123" t="s">
        <v>5</v>
      </c>
      <c r="B45" s="124" t="s">
        <v>129</v>
      </c>
      <c r="C45" s="186"/>
      <c r="D45" s="112">
        <v>0</v>
      </c>
      <c r="E45" s="113">
        <v>0</v>
      </c>
    </row>
    <row r="46" spans="1:5" s="30" customFormat="1" x14ac:dyDescent="0.25">
      <c r="A46" s="123" t="s">
        <v>20</v>
      </c>
      <c r="B46" s="124" t="s">
        <v>130</v>
      </c>
      <c r="C46" s="125"/>
      <c r="D46" s="112">
        <v>0</v>
      </c>
      <c r="E46" s="113">
        <v>0</v>
      </c>
    </row>
    <row r="47" spans="1:5" s="30" customFormat="1" x14ac:dyDescent="0.25">
      <c r="A47" s="123" t="s">
        <v>21</v>
      </c>
      <c r="B47" s="124" t="s">
        <v>131</v>
      </c>
      <c r="C47" s="186"/>
      <c r="D47" s="112">
        <v>0</v>
      </c>
      <c r="E47" s="113">
        <v>0</v>
      </c>
    </row>
    <row r="48" spans="1:5" s="30" customFormat="1" ht="15.75" customHeight="1" x14ac:dyDescent="0.25">
      <c r="A48" s="342" t="s">
        <v>23</v>
      </c>
      <c r="B48" s="343"/>
      <c r="C48" s="343"/>
      <c r="D48" s="63">
        <f>SUM(D43:D47)</f>
        <v>0</v>
      </c>
      <c r="E48" s="64">
        <f>SUM(E43:E47)</f>
        <v>0</v>
      </c>
    </row>
    <row r="49" spans="1:5" s="30" customFormat="1" ht="15.75" customHeight="1" x14ac:dyDescent="0.25">
      <c r="A49" s="346" t="s">
        <v>144</v>
      </c>
      <c r="B49" s="347"/>
      <c r="C49" s="347"/>
      <c r="D49" s="347"/>
      <c r="E49" s="397"/>
    </row>
    <row r="50" spans="1:5" s="30" customFormat="1" ht="15.75" customHeight="1" x14ac:dyDescent="0.25">
      <c r="A50" s="259" t="s">
        <v>136</v>
      </c>
      <c r="B50" s="152" t="s">
        <v>138</v>
      </c>
      <c r="C50" s="260"/>
      <c r="D50" s="107">
        <f>D30</f>
        <v>4177</v>
      </c>
      <c r="E50" s="108">
        <f>E30</f>
        <v>4177</v>
      </c>
    </row>
    <row r="51" spans="1:5" s="30" customFormat="1" ht="15.75" customHeight="1" x14ac:dyDescent="0.25">
      <c r="A51" s="259" t="s">
        <v>200</v>
      </c>
      <c r="B51" s="152" t="s">
        <v>139</v>
      </c>
      <c r="C51" s="260"/>
      <c r="D51" s="107">
        <f>D41</f>
        <v>9444.2199999999993</v>
      </c>
      <c r="E51" s="108">
        <f>E41</f>
        <v>9444.2199999999993</v>
      </c>
    </row>
    <row r="52" spans="1:5" s="30" customFormat="1" ht="15.75" customHeight="1" x14ac:dyDescent="0.25">
      <c r="A52" s="259" t="s">
        <v>201</v>
      </c>
      <c r="B52" s="152" t="s">
        <v>140</v>
      </c>
      <c r="C52" s="260"/>
      <c r="D52" s="107">
        <f>D48</f>
        <v>0</v>
      </c>
      <c r="E52" s="108">
        <f>E48</f>
        <v>0</v>
      </c>
    </row>
    <row r="53" spans="1:5" s="30" customFormat="1" ht="15.75" customHeight="1" x14ac:dyDescent="0.25">
      <c r="A53" s="344" t="s">
        <v>146</v>
      </c>
      <c r="B53" s="345"/>
      <c r="C53" s="345"/>
      <c r="D53" s="117">
        <f>SUM(D50:D52)</f>
        <v>13621.22</v>
      </c>
      <c r="E53" s="118">
        <f>SUM(E50:E52)</f>
        <v>13621.22</v>
      </c>
    </row>
    <row r="54" spans="1:5" s="30" customFormat="1" ht="15.75" customHeight="1" x14ac:dyDescent="0.25">
      <c r="A54" s="346" t="s">
        <v>154</v>
      </c>
      <c r="B54" s="347"/>
      <c r="C54" s="347"/>
      <c r="D54" s="347"/>
      <c r="E54" s="397"/>
    </row>
    <row r="55" spans="1:5" s="30" customFormat="1" ht="15.75" customHeight="1" x14ac:dyDescent="0.25">
      <c r="A55" s="257" t="s">
        <v>191</v>
      </c>
      <c r="B55" s="356" t="s">
        <v>32</v>
      </c>
      <c r="C55" s="357"/>
      <c r="D55" s="121" t="s">
        <v>10</v>
      </c>
      <c r="E55" s="122" t="s">
        <v>10</v>
      </c>
    </row>
    <row r="56" spans="1:5" s="30" customFormat="1" ht="15.75" customHeight="1" x14ac:dyDescent="0.25">
      <c r="A56" s="123" t="s">
        <v>0</v>
      </c>
      <c r="B56" s="124" t="s">
        <v>33</v>
      </c>
      <c r="C56" s="125">
        <v>4.5999999999999999E-3</v>
      </c>
      <c r="D56" s="126">
        <f>D$25*C56</f>
        <v>98.84</v>
      </c>
      <c r="E56" s="127">
        <f>E$25*C56</f>
        <v>98.84</v>
      </c>
    </row>
    <row r="57" spans="1:5" s="30" customFormat="1" ht="15.75" customHeight="1" x14ac:dyDescent="0.25">
      <c r="A57" s="123" t="s">
        <v>2</v>
      </c>
      <c r="B57" s="124" t="s">
        <v>34</v>
      </c>
      <c r="C57" s="125">
        <v>4.0000000000000002E-4</v>
      </c>
      <c r="D57" s="126">
        <f>D$25*C57</f>
        <v>8.59</v>
      </c>
      <c r="E57" s="127">
        <f>E$25*C57</f>
        <v>8.59</v>
      </c>
    </row>
    <row r="58" spans="1:5" s="30" customFormat="1" ht="15.75" customHeight="1" x14ac:dyDescent="0.25">
      <c r="A58" s="123" t="s">
        <v>3</v>
      </c>
      <c r="B58" s="124" t="s">
        <v>35</v>
      </c>
      <c r="C58" s="125">
        <v>1.9400000000000001E-2</v>
      </c>
      <c r="D58" s="126">
        <f>D$25*C58</f>
        <v>416.84</v>
      </c>
      <c r="E58" s="127">
        <f>E$25*C58</f>
        <v>416.84</v>
      </c>
    </row>
    <row r="59" spans="1:5" s="30" customFormat="1" ht="30" customHeight="1" x14ac:dyDescent="0.25">
      <c r="A59" s="123" t="s">
        <v>5</v>
      </c>
      <c r="B59" s="189" t="s">
        <v>310</v>
      </c>
      <c r="C59" s="125">
        <v>7.7000000000000002E-3</v>
      </c>
      <c r="D59" s="126">
        <f>D$25*C59</f>
        <v>165.45</v>
      </c>
      <c r="E59" s="127">
        <f>E$25*C59</f>
        <v>165.45</v>
      </c>
    </row>
    <row r="60" spans="1:5" s="30" customFormat="1" ht="32.25" customHeight="1" x14ac:dyDescent="0.25">
      <c r="A60" s="123" t="s">
        <v>20</v>
      </c>
      <c r="B60" s="124" t="s">
        <v>204</v>
      </c>
      <c r="C60" s="125">
        <v>0.04</v>
      </c>
      <c r="D60" s="126">
        <f>D$25*C60</f>
        <v>859.47</v>
      </c>
      <c r="E60" s="127">
        <f>E$25*C60</f>
        <v>859.47</v>
      </c>
    </row>
    <row r="61" spans="1:5" s="30" customFormat="1" ht="15.75" customHeight="1" x14ac:dyDescent="0.25">
      <c r="A61" s="344" t="s">
        <v>147</v>
      </c>
      <c r="B61" s="345"/>
      <c r="C61" s="265">
        <f>SUM(C56:C60)</f>
        <v>7.2099999999999997E-2</v>
      </c>
      <c r="D61" s="117">
        <f>SUM(D56:D60)</f>
        <v>1549.19</v>
      </c>
      <c r="E61" s="118">
        <f>SUM(E56:E60)</f>
        <v>1549.19</v>
      </c>
    </row>
    <row r="62" spans="1:5" s="30" customFormat="1" x14ac:dyDescent="0.25">
      <c r="A62" s="346" t="s">
        <v>155</v>
      </c>
      <c r="B62" s="347"/>
      <c r="C62" s="347"/>
      <c r="D62" s="347"/>
      <c r="E62" s="397"/>
    </row>
    <row r="63" spans="1:5" s="30" customFormat="1" x14ac:dyDescent="0.25">
      <c r="A63" s="257" t="s">
        <v>190</v>
      </c>
      <c r="B63" s="358" t="s">
        <v>36</v>
      </c>
      <c r="C63" s="358"/>
      <c r="D63" s="121" t="s">
        <v>10</v>
      </c>
      <c r="E63" s="122" t="s">
        <v>10</v>
      </c>
    </row>
    <row r="64" spans="1:5" s="30" customFormat="1" x14ac:dyDescent="0.25">
      <c r="A64" s="123" t="s">
        <v>0</v>
      </c>
      <c r="B64" s="124" t="s">
        <v>183</v>
      </c>
      <c r="C64" s="125">
        <f>C29/12</f>
        <v>9.2999999999999992E-3</v>
      </c>
      <c r="D64" s="126">
        <f t="shared" ref="D64:D70" si="0">(D$25+D$53+D$61+D$85)*C64</f>
        <v>341.23</v>
      </c>
      <c r="E64" s="127">
        <f t="shared" ref="E64:E70" si="1">(E$25+E$53+E$61+E$85)*C64</f>
        <v>341.23</v>
      </c>
    </row>
    <row r="65" spans="1:5" s="30" customFormat="1" x14ac:dyDescent="0.25">
      <c r="A65" s="123" t="s">
        <v>2</v>
      </c>
      <c r="B65" s="124" t="s">
        <v>184</v>
      </c>
      <c r="C65" s="125">
        <v>1.3899999999999999E-2</v>
      </c>
      <c r="D65" s="126">
        <f t="shared" si="0"/>
        <v>510</v>
      </c>
      <c r="E65" s="127">
        <f t="shared" si="1"/>
        <v>510</v>
      </c>
    </row>
    <row r="66" spans="1:5" s="30" customFormat="1" x14ac:dyDescent="0.25">
      <c r="A66" s="123" t="s">
        <v>3</v>
      </c>
      <c r="B66" s="124" t="s">
        <v>187</v>
      </c>
      <c r="C66" s="125">
        <v>1.2999999999999999E-3</v>
      </c>
      <c r="D66" s="126">
        <f t="shared" si="0"/>
        <v>47.7</v>
      </c>
      <c r="E66" s="127">
        <f t="shared" si="1"/>
        <v>47.7</v>
      </c>
    </row>
    <row r="67" spans="1:5" s="30" customFormat="1" x14ac:dyDescent="0.25">
      <c r="A67" s="123" t="s">
        <v>5</v>
      </c>
      <c r="B67" s="124" t="s">
        <v>185</v>
      </c>
      <c r="C67" s="125">
        <v>2.0000000000000001E-4</v>
      </c>
      <c r="D67" s="126">
        <f t="shared" si="0"/>
        <v>7.34</v>
      </c>
      <c r="E67" s="127">
        <f t="shared" si="1"/>
        <v>7.34</v>
      </c>
    </row>
    <row r="68" spans="1:5" s="30" customFormat="1" x14ac:dyDescent="0.25">
      <c r="A68" s="123" t="s">
        <v>20</v>
      </c>
      <c r="B68" s="124" t="s">
        <v>299</v>
      </c>
      <c r="C68" s="125">
        <v>2.8E-3</v>
      </c>
      <c r="D68" s="126">
        <f t="shared" si="0"/>
        <v>102.73</v>
      </c>
      <c r="E68" s="127">
        <f t="shared" si="1"/>
        <v>102.73</v>
      </c>
    </row>
    <row r="69" spans="1:5" s="30" customFormat="1" x14ac:dyDescent="0.25">
      <c r="A69" s="123" t="s">
        <v>21</v>
      </c>
      <c r="B69" s="124" t="s">
        <v>186</v>
      </c>
      <c r="C69" s="125">
        <v>2.9999999999999997E-4</v>
      </c>
      <c r="D69" s="126">
        <f t="shared" si="0"/>
        <v>11.01</v>
      </c>
      <c r="E69" s="127">
        <f t="shared" si="1"/>
        <v>11.01</v>
      </c>
    </row>
    <row r="70" spans="1:5" s="30" customFormat="1" ht="15.75" customHeight="1" x14ac:dyDescent="0.25">
      <c r="A70" s="123" t="s">
        <v>22</v>
      </c>
      <c r="B70" s="256" t="s">
        <v>188</v>
      </c>
      <c r="C70" s="125">
        <v>0</v>
      </c>
      <c r="D70" s="126">
        <f t="shared" si="0"/>
        <v>0</v>
      </c>
      <c r="E70" s="127">
        <f t="shared" si="1"/>
        <v>0</v>
      </c>
    </row>
    <row r="71" spans="1:5" s="30" customFormat="1" x14ac:dyDescent="0.25">
      <c r="A71" s="342" t="s">
        <v>29</v>
      </c>
      <c r="B71" s="343"/>
      <c r="C71" s="135">
        <f>SUM(C64:C70)</f>
        <v>2.7799999999999998E-2</v>
      </c>
      <c r="D71" s="63">
        <f>SUM(D64:D70)</f>
        <v>1020.01</v>
      </c>
      <c r="E71" s="64">
        <f>SUM(E64:E70)</f>
        <v>1020.01</v>
      </c>
    </row>
    <row r="72" spans="1:5" s="30" customFormat="1" x14ac:dyDescent="0.25">
      <c r="A72" s="259"/>
      <c r="B72" s="260"/>
      <c r="C72" s="155"/>
      <c r="D72" s="155"/>
      <c r="E72" s="148"/>
    </row>
    <row r="73" spans="1:5" s="30" customFormat="1" x14ac:dyDescent="0.25">
      <c r="A73" s="259"/>
      <c r="B73" s="354" t="s">
        <v>192</v>
      </c>
      <c r="C73" s="355"/>
      <c r="D73" s="121" t="s">
        <v>10</v>
      </c>
      <c r="E73" s="122" t="s">
        <v>10</v>
      </c>
    </row>
    <row r="74" spans="1:5" s="30" customFormat="1" x14ac:dyDescent="0.25">
      <c r="A74" s="146" t="s">
        <v>0</v>
      </c>
      <c r="B74" s="249" t="s">
        <v>193</v>
      </c>
      <c r="C74" s="161">
        <v>0</v>
      </c>
      <c r="D74" s="211">
        <v>0</v>
      </c>
      <c r="E74" s="246">
        <v>0</v>
      </c>
    </row>
    <row r="75" spans="1:5" s="30" customFormat="1" ht="15.75" customHeight="1" x14ac:dyDescent="0.25">
      <c r="A75" s="342" t="s">
        <v>27</v>
      </c>
      <c r="B75" s="343"/>
      <c r="C75" s="156">
        <v>0</v>
      </c>
      <c r="D75" s="63">
        <f>D74</f>
        <v>0</v>
      </c>
      <c r="E75" s="64">
        <f>E74</f>
        <v>0</v>
      </c>
    </row>
    <row r="76" spans="1:5" s="30" customFormat="1" ht="15.75" customHeight="1" x14ac:dyDescent="0.25">
      <c r="A76" s="346" t="s">
        <v>30</v>
      </c>
      <c r="B76" s="347"/>
      <c r="C76" s="347"/>
      <c r="D76" s="347"/>
      <c r="E76" s="397"/>
    </row>
    <row r="77" spans="1:5" s="30" customFormat="1" ht="15.75" customHeight="1" x14ac:dyDescent="0.25">
      <c r="A77" s="350" t="s">
        <v>194</v>
      </c>
      <c r="B77" s="351"/>
      <c r="C77" s="351"/>
      <c r="D77" s="351"/>
      <c r="E77" s="400"/>
    </row>
    <row r="78" spans="1:5" s="30" customFormat="1" ht="15.75" customHeight="1" x14ac:dyDescent="0.25">
      <c r="A78" s="257">
        <v>4</v>
      </c>
      <c r="B78" s="356" t="s">
        <v>205</v>
      </c>
      <c r="C78" s="357"/>
      <c r="D78" s="121" t="s">
        <v>10</v>
      </c>
      <c r="E78" s="122" t="s">
        <v>10</v>
      </c>
    </row>
    <row r="79" spans="1:5" s="30" customFormat="1" ht="15.75" customHeight="1" x14ac:dyDescent="0.25">
      <c r="A79" s="123" t="s">
        <v>190</v>
      </c>
      <c r="B79" s="124" t="s">
        <v>189</v>
      </c>
      <c r="C79" s="125">
        <f>C71</f>
        <v>2.7799999999999998E-2</v>
      </c>
      <c r="D79" s="126">
        <f>D71</f>
        <v>1020.01</v>
      </c>
      <c r="E79" s="127">
        <f>E71</f>
        <v>1020.01</v>
      </c>
    </row>
    <row r="80" spans="1:5" s="30" customFormat="1" ht="15.75" customHeight="1" x14ac:dyDescent="0.25">
      <c r="A80" s="123" t="s">
        <v>206</v>
      </c>
      <c r="B80" s="124" t="s">
        <v>192</v>
      </c>
      <c r="C80" s="125">
        <v>0</v>
      </c>
      <c r="D80" s="126">
        <f>(D$25+D$53+D$61)*C80</f>
        <v>0</v>
      </c>
      <c r="E80" s="127">
        <f>(E$25+E$53+E$61)*C80</f>
        <v>0</v>
      </c>
    </row>
    <row r="81" spans="1:5" s="30" customFormat="1" ht="15.75" customHeight="1" x14ac:dyDescent="0.25">
      <c r="A81" s="342" t="s">
        <v>27</v>
      </c>
      <c r="B81" s="343"/>
      <c r="C81" s="128">
        <f>SUM(C79:C80)</f>
        <v>2.7799999999999998E-2</v>
      </c>
      <c r="D81" s="63">
        <f>SUM(D79:D80)</f>
        <v>1020.01</v>
      </c>
      <c r="E81" s="64">
        <f>SUM(E79:E80)</f>
        <v>1020.01</v>
      </c>
    </row>
    <row r="82" spans="1:5" s="30" customFormat="1" ht="15.75" customHeight="1" x14ac:dyDescent="0.25">
      <c r="A82" s="344" t="s">
        <v>148</v>
      </c>
      <c r="B82" s="345"/>
      <c r="C82" s="345"/>
      <c r="D82" s="117">
        <f>SUM(D75+D81)</f>
        <v>1020.01</v>
      </c>
      <c r="E82" s="118">
        <f>SUM(E75+E81)</f>
        <v>1020.01</v>
      </c>
    </row>
    <row r="83" spans="1:5" s="30" customFormat="1" ht="15.75" customHeight="1" x14ac:dyDescent="0.25">
      <c r="A83" s="348" t="s">
        <v>156</v>
      </c>
      <c r="B83" s="349"/>
      <c r="C83" s="349"/>
      <c r="D83" s="349"/>
      <c r="E83" s="399"/>
    </row>
    <row r="84" spans="1:5" s="30" customFormat="1" ht="15.75" customHeight="1" x14ac:dyDescent="0.25">
      <c r="A84" s="257">
        <v>5</v>
      </c>
      <c r="B84" s="356" t="s">
        <v>24</v>
      </c>
      <c r="C84" s="357"/>
      <c r="D84" s="121" t="s">
        <v>10</v>
      </c>
      <c r="E84" s="122" t="s">
        <v>10</v>
      </c>
    </row>
    <row r="85" spans="1:5" s="30" customFormat="1" ht="15.75" customHeight="1" x14ac:dyDescent="0.25">
      <c r="A85" s="123" t="s">
        <v>0</v>
      </c>
      <c r="B85" s="378" t="s">
        <v>207</v>
      </c>
      <c r="C85" s="378"/>
      <c r="D85" s="126">
        <f>Uniformes!H7</f>
        <v>33.93</v>
      </c>
      <c r="E85" s="127">
        <f>Uniformes!H7</f>
        <v>33.93</v>
      </c>
    </row>
    <row r="86" spans="1:5" s="30" customFormat="1" ht="15.75" customHeight="1" x14ac:dyDescent="0.25">
      <c r="A86" s="123" t="s">
        <v>2</v>
      </c>
      <c r="B86" s="378" t="s">
        <v>208</v>
      </c>
      <c r="C86" s="378"/>
      <c r="D86" s="126">
        <f>Materiais!H19</f>
        <v>40.090000000000003</v>
      </c>
      <c r="E86" s="127">
        <f>Materiais!H21</f>
        <v>40.090000000000003</v>
      </c>
    </row>
    <row r="87" spans="1:5" s="30" customFormat="1" ht="15.75" customHeight="1" x14ac:dyDescent="0.25">
      <c r="A87" s="123" t="s">
        <v>3</v>
      </c>
      <c r="B87" s="378" t="s">
        <v>178</v>
      </c>
      <c r="C87" s="378"/>
      <c r="D87" s="76">
        <f>Equipamentos!H19</f>
        <v>765.63</v>
      </c>
      <c r="E87" s="148">
        <f>Equipamentos!H21</f>
        <v>765.63</v>
      </c>
    </row>
    <row r="88" spans="1:5" s="30" customFormat="1" ht="15.75" customHeight="1" x14ac:dyDescent="0.25">
      <c r="A88" s="123" t="s">
        <v>5</v>
      </c>
      <c r="B88" s="378" t="s">
        <v>132</v>
      </c>
      <c r="C88" s="378"/>
      <c r="D88" s="126">
        <v>0</v>
      </c>
      <c r="E88" s="127">
        <v>0</v>
      </c>
    </row>
    <row r="89" spans="1:5" s="30" customFormat="1" ht="15.75" customHeight="1" x14ac:dyDescent="0.25">
      <c r="A89" s="344" t="s">
        <v>149</v>
      </c>
      <c r="B89" s="345"/>
      <c r="C89" s="345"/>
      <c r="D89" s="117">
        <f>SUM(D85:D88)</f>
        <v>839.65</v>
      </c>
      <c r="E89" s="118">
        <f>SUM(E85:E88)</f>
        <v>839.65</v>
      </c>
    </row>
    <row r="90" spans="1:5" s="30" customFormat="1" ht="30" customHeight="1" x14ac:dyDescent="0.25">
      <c r="A90" s="348" t="s">
        <v>37</v>
      </c>
      <c r="B90" s="349"/>
      <c r="C90" s="349"/>
      <c r="D90" s="159">
        <f>D89+D82+D61+D53+D25</f>
        <v>38516.699999999997</v>
      </c>
      <c r="E90" s="160">
        <f>E89+E82+E61+E53+E25</f>
        <v>38516.699999999997</v>
      </c>
    </row>
    <row r="91" spans="1:5" s="30" customFormat="1" ht="19.5" customHeight="1" x14ac:dyDescent="0.25">
      <c r="A91" s="346" t="s">
        <v>157</v>
      </c>
      <c r="B91" s="347"/>
      <c r="C91" s="347"/>
      <c r="D91" s="347"/>
      <c r="E91" s="397"/>
    </row>
    <row r="92" spans="1:5" s="30" customFormat="1" x14ac:dyDescent="0.25">
      <c r="A92" s="257">
        <v>6</v>
      </c>
      <c r="B92" s="356" t="s">
        <v>38</v>
      </c>
      <c r="C92" s="372"/>
      <c r="D92" s="121" t="s">
        <v>10</v>
      </c>
      <c r="E92" s="122" t="s">
        <v>10</v>
      </c>
    </row>
    <row r="93" spans="1:5" s="30" customFormat="1" x14ac:dyDescent="0.25">
      <c r="A93" s="123" t="s">
        <v>0</v>
      </c>
      <c r="B93" s="124" t="s">
        <v>39</v>
      </c>
      <c r="C93" s="125">
        <v>0.05</v>
      </c>
      <c r="D93" s="126">
        <f>D90*C93</f>
        <v>1925.84</v>
      </c>
      <c r="E93" s="127">
        <f>E90*C93</f>
        <v>1925.84</v>
      </c>
    </row>
    <row r="94" spans="1:5" s="30" customFormat="1" x14ac:dyDescent="0.25">
      <c r="A94" s="123" t="s">
        <v>2</v>
      </c>
      <c r="B94" s="124" t="s">
        <v>40</v>
      </c>
      <c r="C94" s="125">
        <v>0.1</v>
      </c>
      <c r="D94" s="126">
        <f>C94*(D90+D93)</f>
        <v>4044.25</v>
      </c>
      <c r="E94" s="127">
        <f>C94*(E90+E93)</f>
        <v>4044.25</v>
      </c>
    </row>
    <row r="95" spans="1:5" s="30" customFormat="1" ht="30" x14ac:dyDescent="0.25">
      <c r="A95" s="123"/>
      <c r="B95" s="124" t="s">
        <v>47</v>
      </c>
      <c r="C95" s="125">
        <f>1-C102</f>
        <v>0.85750000000000004</v>
      </c>
      <c r="D95" s="126">
        <f>D90+D93+D94</f>
        <v>44486.79</v>
      </c>
      <c r="E95" s="127">
        <f>E90+E93+E94</f>
        <v>44486.79</v>
      </c>
    </row>
    <row r="96" spans="1:5" s="30" customFormat="1" x14ac:dyDescent="0.25">
      <c r="A96" s="123"/>
      <c r="B96" s="256"/>
      <c r="C96" s="40"/>
      <c r="D96" s="162">
        <f>+D95/C95</f>
        <v>51879.64</v>
      </c>
      <c r="E96" s="163">
        <f>+E95/C95</f>
        <v>51879.64</v>
      </c>
    </row>
    <row r="97" spans="1:5" s="30" customFormat="1" x14ac:dyDescent="0.25">
      <c r="A97" s="123" t="s">
        <v>3</v>
      </c>
      <c r="B97" s="256" t="s">
        <v>41</v>
      </c>
      <c r="C97" s="164">
        <f>C99+C100+C101</f>
        <v>0.14249999999999999</v>
      </c>
      <c r="D97" s="162"/>
      <c r="E97" s="163"/>
    </row>
    <row r="98" spans="1:5" s="30" customFormat="1" x14ac:dyDescent="0.25">
      <c r="A98" s="123" t="s">
        <v>292</v>
      </c>
      <c r="B98" s="256" t="s">
        <v>288</v>
      </c>
      <c r="C98" s="206">
        <f>C99+C100</f>
        <v>9.2499999999999999E-2</v>
      </c>
      <c r="D98" s="126"/>
      <c r="E98" s="127"/>
    </row>
    <row r="99" spans="1:5" s="30" customFormat="1" x14ac:dyDescent="0.25">
      <c r="A99" s="123" t="s">
        <v>293</v>
      </c>
      <c r="B99" s="124" t="s">
        <v>289</v>
      </c>
      <c r="C99" s="125">
        <v>1.6500000000000001E-2</v>
      </c>
      <c r="D99" s="126">
        <f>+D96*C99</f>
        <v>856.01</v>
      </c>
      <c r="E99" s="127">
        <f>+E96*C99</f>
        <v>856.01</v>
      </c>
    </row>
    <row r="100" spans="1:5" s="30" customFormat="1" x14ac:dyDescent="0.25">
      <c r="A100" s="123" t="s">
        <v>294</v>
      </c>
      <c r="B100" s="124" t="s">
        <v>290</v>
      </c>
      <c r="C100" s="125">
        <v>7.5999999999999998E-2</v>
      </c>
      <c r="D100" s="126">
        <f>+D96*C100</f>
        <v>3942.85</v>
      </c>
      <c r="E100" s="127">
        <f>+E96*C100</f>
        <v>3942.85</v>
      </c>
    </row>
    <row r="101" spans="1:5" s="30" customFormat="1" x14ac:dyDescent="0.25">
      <c r="A101" s="123" t="s">
        <v>295</v>
      </c>
      <c r="B101" s="124" t="s">
        <v>291</v>
      </c>
      <c r="C101" s="125">
        <v>0.05</v>
      </c>
      <c r="D101" s="126">
        <f>+D96*C101</f>
        <v>2593.98</v>
      </c>
      <c r="E101" s="127">
        <f>+E96*C101</f>
        <v>2593.98</v>
      </c>
    </row>
    <row r="102" spans="1:5" s="30" customFormat="1" x14ac:dyDescent="0.25">
      <c r="A102" s="257"/>
      <c r="B102" s="157" t="s">
        <v>42</v>
      </c>
      <c r="C102" s="165">
        <f>C97</f>
        <v>0.14249999999999999</v>
      </c>
      <c r="D102" s="166">
        <f>SUM(D99:D101)</f>
        <v>7392.84</v>
      </c>
      <c r="E102" s="167">
        <f>SUM(E99:E101)</f>
        <v>7392.84</v>
      </c>
    </row>
    <row r="103" spans="1:5" s="30" customFormat="1" ht="15.75" customHeight="1" x14ac:dyDescent="0.25">
      <c r="A103" s="342" t="s">
        <v>43</v>
      </c>
      <c r="B103" s="343"/>
      <c r="C103" s="343"/>
      <c r="D103" s="63">
        <f>+D93+D94+D102</f>
        <v>13362.93</v>
      </c>
      <c r="E103" s="64">
        <f>+E93+E94+E102</f>
        <v>13362.93</v>
      </c>
    </row>
    <row r="104" spans="1:5" s="30" customFormat="1" ht="15.75" customHeight="1" x14ac:dyDescent="0.25">
      <c r="A104" s="360" t="s">
        <v>44</v>
      </c>
      <c r="B104" s="361"/>
      <c r="C104" s="361"/>
      <c r="D104" s="199" t="s">
        <v>10</v>
      </c>
      <c r="E104" s="200" t="s">
        <v>10</v>
      </c>
    </row>
    <row r="105" spans="1:5" s="30" customFormat="1" x14ac:dyDescent="0.25">
      <c r="A105" s="123" t="s">
        <v>0</v>
      </c>
      <c r="B105" s="362" t="s">
        <v>45</v>
      </c>
      <c r="C105" s="362"/>
      <c r="D105" s="126">
        <f>D25</f>
        <v>21486.63</v>
      </c>
      <c r="E105" s="127">
        <f>E25</f>
        <v>21486.63</v>
      </c>
    </row>
    <row r="106" spans="1:5" s="30" customFormat="1" x14ac:dyDescent="0.25">
      <c r="A106" s="123" t="s">
        <v>2</v>
      </c>
      <c r="B106" s="362" t="s">
        <v>152</v>
      </c>
      <c r="C106" s="362"/>
      <c r="D106" s="126">
        <f>D53</f>
        <v>13621.22</v>
      </c>
      <c r="E106" s="127">
        <f>E53</f>
        <v>13621.22</v>
      </c>
    </row>
    <row r="107" spans="1:5" s="30" customFormat="1" x14ac:dyDescent="0.25">
      <c r="A107" s="123" t="s">
        <v>3</v>
      </c>
      <c r="B107" s="362" t="s">
        <v>150</v>
      </c>
      <c r="C107" s="362"/>
      <c r="D107" s="126">
        <f>D61</f>
        <v>1549.19</v>
      </c>
      <c r="E107" s="127">
        <f>E61</f>
        <v>1549.19</v>
      </c>
    </row>
    <row r="108" spans="1:5" s="30" customFormat="1" x14ac:dyDescent="0.25">
      <c r="A108" s="123" t="s">
        <v>5</v>
      </c>
      <c r="B108" s="362" t="s">
        <v>143</v>
      </c>
      <c r="C108" s="362"/>
      <c r="D108" s="126">
        <f>D82</f>
        <v>1020.01</v>
      </c>
      <c r="E108" s="127">
        <f>E82</f>
        <v>1020.01</v>
      </c>
    </row>
    <row r="109" spans="1:5" s="30" customFormat="1" x14ac:dyDescent="0.25">
      <c r="A109" s="123" t="s">
        <v>20</v>
      </c>
      <c r="B109" s="362" t="s">
        <v>151</v>
      </c>
      <c r="C109" s="362"/>
      <c r="D109" s="126">
        <f>D89</f>
        <v>839.65</v>
      </c>
      <c r="E109" s="127">
        <f>E89</f>
        <v>839.65</v>
      </c>
    </row>
    <row r="110" spans="1:5" s="30" customFormat="1" ht="15.75" customHeight="1" x14ac:dyDescent="0.25">
      <c r="A110" s="363" t="s">
        <v>296</v>
      </c>
      <c r="B110" s="364"/>
      <c r="C110" s="364"/>
      <c r="D110" s="166">
        <f>SUM(D105:D109)</f>
        <v>38516.699999999997</v>
      </c>
      <c r="E110" s="167">
        <f>SUM(E105:E109)</f>
        <v>38516.699999999997</v>
      </c>
    </row>
    <row r="111" spans="1:5" s="30" customFormat="1" x14ac:dyDescent="0.25">
      <c r="A111" s="123" t="s">
        <v>21</v>
      </c>
      <c r="B111" s="362" t="s">
        <v>153</v>
      </c>
      <c r="C111" s="362"/>
      <c r="D111" s="126">
        <f>+D103</f>
        <v>13362.93</v>
      </c>
      <c r="E111" s="127">
        <f>+E103</f>
        <v>13362.93</v>
      </c>
    </row>
    <row r="112" spans="1:5" s="30" customFormat="1" ht="16.5" customHeight="1" thickBot="1" x14ac:dyDescent="0.3">
      <c r="A112" s="370" t="s">
        <v>46</v>
      </c>
      <c r="B112" s="371"/>
      <c r="C112" s="371"/>
      <c r="D112" s="170">
        <f>+D110+D111</f>
        <v>51879.63</v>
      </c>
      <c r="E112" s="171">
        <f>+E110+E111</f>
        <v>51879.63</v>
      </c>
    </row>
    <row r="113" spans="1:5" ht="16.5" thickBot="1" x14ac:dyDescent="0.3">
      <c r="A113" s="415" t="s">
        <v>219</v>
      </c>
      <c r="B113" s="416"/>
      <c r="C113" s="416"/>
      <c r="D113" s="416"/>
      <c r="E113" s="417"/>
    </row>
    <row r="114" spans="1:5" ht="15.75" customHeight="1" x14ac:dyDescent="0.25">
      <c r="A114" s="401" t="s">
        <v>298</v>
      </c>
      <c r="B114" s="402"/>
      <c r="C114" s="402"/>
      <c r="D114" s="402"/>
      <c r="E114" s="403"/>
    </row>
    <row r="115" spans="1:5" x14ac:dyDescent="0.25">
      <c r="A115" s="404"/>
      <c r="B115" s="405"/>
      <c r="C115" s="405"/>
      <c r="D115" s="405"/>
      <c r="E115" s="406"/>
    </row>
    <row r="116" spans="1:5" x14ac:dyDescent="0.25">
      <c r="A116" s="404"/>
      <c r="B116" s="405"/>
      <c r="C116" s="405"/>
      <c r="D116" s="405"/>
      <c r="E116" s="406"/>
    </row>
    <row r="117" spans="1:5" x14ac:dyDescent="0.25">
      <c r="A117" s="404"/>
      <c r="B117" s="405"/>
      <c r="C117" s="405"/>
      <c r="D117" s="405"/>
      <c r="E117" s="406"/>
    </row>
    <row r="118" spans="1:5" x14ac:dyDescent="0.25">
      <c r="A118" s="404"/>
      <c r="B118" s="405"/>
      <c r="C118" s="405"/>
      <c r="D118" s="405"/>
      <c r="E118" s="406"/>
    </row>
    <row r="119" spans="1:5" x14ac:dyDescent="0.25">
      <c r="A119" s="404"/>
      <c r="B119" s="405"/>
      <c r="C119" s="405"/>
      <c r="D119" s="405"/>
      <c r="E119" s="406"/>
    </row>
    <row r="120" spans="1:5" x14ac:dyDescent="0.25">
      <c r="A120" s="404"/>
      <c r="B120" s="405"/>
      <c r="C120" s="405"/>
      <c r="D120" s="405"/>
      <c r="E120" s="406"/>
    </row>
    <row r="121" spans="1:5" x14ac:dyDescent="0.25">
      <c r="A121" s="404"/>
      <c r="B121" s="405"/>
      <c r="C121" s="405"/>
      <c r="D121" s="405"/>
      <c r="E121" s="406"/>
    </row>
    <row r="122" spans="1:5" ht="16.5" thickBot="1" x14ac:dyDescent="0.3">
      <c r="A122" s="407"/>
      <c r="B122" s="408"/>
      <c r="C122" s="408"/>
      <c r="D122" s="408"/>
      <c r="E122" s="409"/>
    </row>
    <row r="124" spans="1:5" x14ac:dyDescent="0.25">
      <c r="B124" s="28"/>
    </row>
  </sheetData>
  <mergeCells count="64">
    <mergeCell ref="A112:C112"/>
    <mergeCell ref="A113:E113"/>
    <mergeCell ref="B106:C106"/>
    <mergeCell ref="B107:C107"/>
    <mergeCell ref="B108:C108"/>
    <mergeCell ref="B109:C109"/>
    <mergeCell ref="A110:C110"/>
    <mergeCell ref="B111:C111"/>
    <mergeCell ref="B105:C105"/>
    <mergeCell ref="B85:C85"/>
    <mergeCell ref="B86:C86"/>
    <mergeCell ref="B87:C87"/>
    <mergeCell ref="B88:C88"/>
    <mergeCell ref="A89:C89"/>
    <mergeCell ref="A90:C90"/>
    <mergeCell ref="A91:E91"/>
    <mergeCell ref="B92:C92"/>
    <mergeCell ref="A103:C103"/>
    <mergeCell ref="A104:C104"/>
    <mergeCell ref="B55:C55"/>
    <mergeCell ref="A61:B61"/>
    <mergeCell ref="B84:C84"/>
    <mergeCell ref="A62:E62"/>
    <mergeCell ref="B63:C63"/>
    <mergeCell ref="A71:B71"/>
    <mergeCell ref="B73:C73"/>
    <mergeCell ref="A75:B75"/>
    <mergeCell ref="A76:E76"/>
    <mergeCell ref="A77:E77"/>
    <mergeCell ref="B78:C78"/>
    <mergeCell ref="A81:B81"/>
    <mergeCell ref="A82:C82"/>
    <mergeCell ref="A83:E83"/>
    <mergeCell ref="B42:C42"/>
    <mergeCell ref="A48:C48"/>
    <mergeCell ref="A49:E49"/>
    <mergeCell ref="A53:C53"/>
    <mergeCell ref="A54:E54"/>
    <mergeCell ref="B27:C27"/>
    <mergeCell ref="A30:B30"/>
    <mergeCell ref="A31:E31"/>
    <mergeCell ref="B32:C32"/>
    <mergeCell ref="A41:B41"/>
    <mergeCell ref="A16:C16"/>
    <mergeCell ref="B17:C17"/>
    <mergeCell ref="A25:C25"/>
    <mergeCell ref="C13:E13"/>
    <mergeCell ref="D11:E11"/>
    <mergeCell ref="A114:E122"/>
    <mergeCell ref="C6:E6"/>
    <mergeCell ref="A1:E1"/>
    <mergeCell ref="A2:E2"/>
    <mergeCell ref="A3:E3"/>
    <mergeCell ref="C4:E4"/>
    <mergeCell ref="C5:E5"/>
    <mergeCell ref="A26:C26"/>
    <mergeCell ref="C7:E7"/>
    <mergeCell ref="A8:E8"/>
    <mergeCell ref="A9:E9"/>
    <mergeCell ref="A10:E10"/>
    <mergeCell ref="A11:C11"/>
    <mergeCell ref="C12:E12"/>
    <mergeCell ref="C14:E14"/>
    <mergeCell ref="C15:E15"/>
  </mergeCells>
  <hyperlinks>
    <hyperlink ref="B38" r:id="rId1" display="08 - Sebrae 0,3% ou 0,6% - IN nº 03, MPS/SRP/2005, Anexo II e III ver código da Tabela" xr:uid="{00000000-0004-0000-0A00-000000000000}"/>
  </hyperlinks>
  <pageMargins left="0.511811024" right="0.511811024" top="0.78740157499999996" bottom="0.78740157499999996" header="0.31496062000000002" footer="0.31496062000000002"/>
  <pageSetup paperSize="9" scale="34" orientation="portrait"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H22"/>
  <sheetViews>
    <sheetView view="pageBreakPreview" zoomScaleNormal="100" zoomScaleSheetLayoutView="100" workbookViewId="0">
      <selection activeCell="E21" sqref="E21"/>
    </sheetView>
  </sheetViews>
  <sheetFormatPr defaultRowHeight="15" x14ac:dyDescent="0.25"/>
  <cols>
    <col min="1" max="1" width="8.7109375" customWidth="1"/>
    <col min="2" max="2" width="30.7109375" customWidth="1"/>
    <col min="3" max="8" width="15.7109375" customWidth="1"/>
  </cols>
  <sheetData>
    <row r="1" spans="1:8" ht="15" customHeight="1" thickBot="1" x14ac:dyDescent="0.3">
      <c r="A1" s="418" t="s">
        <v>215</v>
      </c>
      <c r="B1" s="419"/>
      <c r="C1" s="419"/>
      <c r="D1" s="419"/>
      <c r="E1" s="419"/>
      <c r="F1" s="419"/>
      <c r="G1" s="419"/>
      <c r="H1" s="420"/>
    </row>
    <row r="2" spans="1:8" ht="15" customHeight="1" x14ac:dyDescent="0.25">
      <c r="A2" s="60" t="s">
        <v>158</v>
      </c>
      <c r="B2" s="61" t="s">
        <v>177</v>
      </c>
      <c r="C2" s="61" t="s">
        <v>253</v>
      </c>
      <c r="D2" s="61" t="s">
        <v>160</v>
      </c>
      <c r="E2" s="61" t="s">
        <v>160</v>
      </c>
      <c r="F2" s="61" t="s">
        <v>161</v>
      </c>
      <c r="G2" s="61" t="s">
        <v>211</v>
      </c>
      <c r="H2" s="62" t="s">
        <v>164</v>
      </c>
    </row>
    <row r="3" spans="1:8" ht="15" customHeight="1" x14ac:dyDescent="0.25">
      <c r="A3" s="74">
        <v>1</v>
      </c>
      <c r="B3" s="75" t="s">
        <v>254</v>
      </c>
      <c r="C3" s="75" t="s">
        <v>255</v>
      </c>
      <c r="D3" s="75">
        <v>2</v>
      </c>
      <c r="E3" s="75">
        <f>D3*2</f>
        <v>4</v>
      </c>
      <c r="F3" s="76">
        <v>42.7</v>
      </c>
      <c r="G3" s="77">
        <f>F3*E3</f>
        <v>170.8</v>
      </c>
      <c r="H3" s="78">
        <f>G3/12</f>
        <v>14.23</v>
      </c>
    </row>
    <row r="4" spans="1:8" ht="15" customHeight="1" x14ac:dyDescent="0.25">
      <c r="A4" s="74">
        <f>A3+1</f>
        <v>2</v>
      </c>
      <c r="B4" s="79" t="s">
        <v>256</v>
      </c>
      <c r="C4" s="75" t="s">
        <v>255</v>
      </c>
      <c r="D4" s="80">
        <v>2</v>
      </c>
      <c r="E4" s="75">
        <f t="shared" ref="E4:E6" si="0">D4*2</f>
        <v>4</v>
      </c>
      <c r="F4" s="77">
        <v>38.89</v>
      </c>
      <c r="G4" s="77">
        <f>F4*E4</f>
        <v>155.56</v>
      </c>
      <c r="H4" s="78">
        <f>G4/12</f>
        <v>12.96</v>
      </c>
    </row>
    <row r="5" spans="1:8" ht="15" customHeight="1" x14ac:dyDescent="0.25">
      <c r="A5" s="74">
        <f>A4+1</f>
        <v>3</v>
      </c>
      <c r="B5" s="79" t="s">
        <v>257</v>
      </c>
      <c r="C5" s="75" t="s">
        <v>255</v>
      </c>
      <c r="D5" s="80">
        <v>1</v>
      </c>
      <c r="E5" s="75">
        <f t="shared" si="0"/>
        <v>2</v>
      </c>
      <c r="F5" s="77">
        <v>1.29</v>
      </c>
      <c r="G5" s="77">
        <f>F5*E5</f>
        <v>2.58</v>
      </c>
      <c r="H5" s="78">
        <f>G5/12</f>
        <v>0.22</v>
      </c>
    </row>
    <row r="6" spans="1:8" ht="15" customHeight="1" thickBot="1" x14ac:dyDescent="0.3">
      <c r="A6" s="82">
        <v>4</v>
      </c>
      <c r="B6" s="83" t="s">
        <v>258</v>
      </c>
      <c r="C6" s="84" t="s">
        <v>255</v>
      </c>
      <c r="D6" s="85">
        <v>1</v>
      </c>
      <c r="E6" s="84">
        <f t="shared" si="0"/>
        <v>2</v>
      </c>
      <c r="F6" s="86">
        <v>39.1</v>
      </c>
      <c r="G6" s="86">
        <f>F6*E6</f>
        <v>78.2</v>
      </c>
      <c r="H6" s="87">
        <f>G6/12</f>
        <v>6.52</v>
      </c>
    </row>
    <row r="7" spans="1:8" ht="15" customHeight="1" thickBot="1" x14ac:dyDescent="0.3">
      <c r="A7" s="421" t="s">
        <v>216</v>
      </c>
      <c r="B7" s="422"/>
      <c r="C7" s="422"/>
      <c r="D7" s="422"/>
      <c r="E7" s="422"/>
      <c r="F7" s="423"/>
      <c r="G7" s="423"/>
      <c r="H7" s="81">
        <f>SUM(H3:H6)</f>
        <v>33.93</v>
      </c>
    </row>
    <row r="8" spans="1:8" ht="15.75" thickBot="1" x14ac:dyDescent="0.3">
      <c r="A8" s="424" t="s">
        <v>234</v>
      </c>
      <c r="B8" s="425"/>
      <c r="C8" s="425"/>
      <c r="D8" s="425"/>
      <c r="E8" s="425"/>
      <c r="F8" s="425"/>
      <c r="G8" s="425"/>
      <c r="H8" s="426"/>
    </row>
    <row r="9" spans="1:8" x14ac:dyDescent="0.25">
      <c r="A9" s="427" t="s">
        <v>308</v>
      </c>
      <c r="B9" s="428"/>
      <c r="C9" s="428"/>
      <c r="D9" s="428"/>
      <c r="E9" s="428"/>
      <c r="F9" s="428"/>
      <c r="G9" s="428"/>
      <c r="H9" s="429"/>
    </row>
    <row r="10" spans="1:8" x14ac:dyDescent="0.25">
      <c r="A10" s="430"/>
      <c r="B10" s="431"/>
      <c r="C10" s="431"/>
      <c r="D10" s="431"/>
      <c r="E10" s="431"/>
      <c r="F10" s="431"/>
      <c r="G10" s="431"/>
      <c r="H10" s="432"/>
    </row>
    <row r="11" spans="1:8" x14ac:dyDescent="0.25">
      <c r="A11" s="430"/>
      <c r="B11" s="431"/>
      <c r="C11" s="431"/>
      <c r="D11" s="431"/>
      <c r="E11" s="431"/>
      <c r="F11" s="431"/>
      <c r="G11" s="431"/>
      <c r="H11" s="432"/>
    </row>
    <row r="12" spans="1:8" x14ac:dyDescent="0.25">
      <c r="A12" s="430"/>
      <c r="B12" s="431"/>
      <c r="C12" s="431"/>
      <c r="D12" s="431"/>
      <c r="E12" s="431"/>
      <c r="F12" s="431"/>
      <c r="G12" s="431"/>
      <c r="H12" s="432"/>
    </row>
    <row r="13" spans="1:8" x14ac:dyDescent="0.25">
      <c r="A13" s="430"/>
      <c r="B13" s="431"/>
      <c r="C13" s="431"/>
      <c r="D13" s="431"/>
      <c r="E13" s="431"/>
      <c r="F13" s="431"/>
      <c r="G13" s="431"/>
      <c r="H13" s="432"/>
    </row>
    <row r="14" spans="1:8" x14ac:dyDescent="0.25">
      <c r="A14" s="430"/>
      <c r="B14" s="431"/>
      <c r="C14" s="431"/>
      <c r="D14" s="431"/>
      <c r="E14" s="431"/>
      <c r="F14" s="431"/>
      <c r="G14" s="431"/>
      <c r="H14" s="432"/>
    </row>
    <row r="15" spans="1:8" x14ac:dyDescent="0.25">
      <c r="A15" s="430"/>
      <c r="B15" s="431"/>
      <c r="C15" s="431"/>
      <c r="D15" s="431"/>
      <c r="E15" s="431"/>
      <c r="F15" s="431"/>
      <c r="G15" s="431"/>
      <c r="H15" s="432"/>
    </row>
    <row r="16" spans="1:8" x14ac:dyDescent="0.25">
      <c r="A16" s="430"/>
      <c r="B16" s="431"/>
      <c r="C16" s="431"/>
      <c r="D16" s="431"/>
      <c r="E16" s="431"/>
      <c r="F16" s="431"/>
      <c r="G16" s="431"/>
      <c r="H16" s="432"/>
    </row>
    <row r="17" spans="1:8" x14ac:dyDescent="0.25">
      <c r="A17" s="430"/>
      <c r="B17" s="431"/>
      <c r="C17" s="431"/>
      <c r="D17" s="431"/>
      <c r="E17" s="431"/>
      <c r="F17" s="431"/>
      <c r="G17" s="431"/>
      <c r="H17" s="432"/>
    </row>
    <row r="18" spans="1:8" x14ac:dyDescent="0.25">
      <c r="A18" s="430"/>
      <c r="B18" s="431"/>
      <c r="C18" s="431"/>
      <c r="D18" s="431"/>
      <c r="E18" s="431"/>
      <c r="F18" s="431"/>
      <c r="G18" s="431"/>
      <c r="H18" s="432"/>
    </row>
    <row r="19" spans="1:8" x14ac:dyDescent="0.25">
      <c r="A19" s="430"/>
      <c r="B19" s="431"/>
      <c r="C19" s="431"/>
      <c r="D19" s="431"/>
      <c r="E19" s="431"/>
      <c r="F19" s="431"/>
      <c r="G19" s="431"/>
      <c r="H19" s="432"/>
    </row>
    <row r="20" spans="1:8" x14ac:dyDescent="0.25">
      <c r="A20" s="430"/>
      <c r="B20" s="431"/>
      <c r="C20" s="431"/>
      <c r="D20" s="431"/>
      <c r="E20" s="431"/>
      <c r="F20" s="431"/>
      <c r="G20" s="431"/>
      <c r="H20" s="432"/>
    </row>
    <row r="21" spans="1:8" x14ac:dyDescent="0.25">
      <c r="A21" s="430"/>
      <c r="B21" s="431"/>
      <c r="C21" s="431"/>
      <c r="D21" s="431"/>
      <c r="E21" s="431"/>
      <c r="F21" s="431"/>
      <c r="G21" s="431"/>
      <c r="H21" s="432"/>
    </row>
    <row r="22" spans="1:8" ht="15.75" thickBot="1" x14ac:dyDescent="0.3">
      <c r="A22" s="433"/>
      <c r="B22" s="434"/>
      <c r="C22" s="434"/>
      <c r="D22" s="434"/>
      <c r="E22" s="434"/>
      <c r="F22" s="434"/>
      <c r="G22" s="434"/>
      <c r="H22" s="435"/>
    </row>
  </sheetData>
  <mergeCells count="4">
    <mergeCell ref="A1:H1"/>
    <mergeCell ref="A7:G7"/>
    <mergeCell ref="A8:H8"/>
    <mergeCell ref="A9:H22"/>
  </mergeCells>
  <pageMargins left="0.511811024" right="0.511811024" top="0.78740157499999996" bottom="0.78740157499999996" header="0.31496062000000002" footer="0.31496062000000002"/>
  <pageSetup paperSize="9" scale="6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30"/>
  <sheetViews>
    <sheetView view="pageBreakPreview" topLeftCell="A13" zoomScaleNormal="100" zoomScaleSheetLayoutView="100" workbookViewId="0">
      <selection activeCell="E21" sqref="E21"/>
    </sheetView>
  </sheetViews>
  <sheetFormatPr defaultRowHeight="15" x14ac:dyDescent="0.25"/>
  <cols>
    <col min="1" max="1" width="9.85546875" bestFit="1" customWidth="1"/>
    <col min="2" max="2" width="100.7109375" customWidth="1"/>
    <col min="3" max="8" width="12.7109375" customWidth="1"/>
  </cols>
  <sheetData>
    <row r="1" spans="1:8" ht="15" customHeight="1" thickBot="1" x14ac:dyDescent="0.3">
      <c r="A1" s="439" t="s">
        <v>235</v>
      </c>
      <c r="B1" s="440"/>
      <c r="C1" s="440"/>
      <c r="D1" s="440"/>
      <c r="E1" s="440"/>
      <c r="F1" s="440"/>
      <c r="G1" s="440"/>
      <c r="H1" s="441"/>
    </row>
    <row r="2" spans="1:8" ht="15" customHeight="1" thickBot="1" x14ac:dyDescent="0.3">
      <c r="A2" s="442" t="s">
        <v>236</v>
      </c>
      <c r="B2" s="443"/>
      <c r="C2" s="443"/>
      <c r="D2" s="443"/>
      <c r="E2" s="443"/>
      <c r="F2" s="443"/>
      <c r="G2" s="443"/>
      <c r="H2" s="444"/>
    </row>
    <row r="3" spans="1:8" ht="30" customHeight="1" thickBot="1" x14ac:dyDescent="0.3">
      <c r="A3" s="215" t="s">
        <v>158</v>
      </c>
      <c r="B3" s="216" t="s">
        <v>237</v>
      </c>
      <c r="C3" s="216" t="s">
        <v>159</v>
      </c>
      <c r="D3" s="216" t="s">
        <v>281</v>
      </c>
      <c r="E3" s="216" t="s">
        <v>282</v>
      </c>
      <c r="F3" s="216" t="s">
        <v>161</v>
      </c>
      <c r="G3" s="216" t="s">
        <v>211</v>
      </c>
      <c r="H3" s="217" t="s">
        <v>164</v>
      </c>
    </row>
    <row r="4" spans="1:8" ht="249.95" customHeight="1" thickBot="1" x14ac:dyDescent="0.3">
      <c r="A4" s="218">
        <v>1</v>
      </c>
      <c r="B4" s="101" t="s">
        <v>259</v>
      </c>
      <c r="C4" s="219" t="s">
        <v>159</v>
      </c>
      <c r="D4" s="219">
        <v>1</v>
      </c>
      <c r="E4" s="220">
        <f>D4</f>
        <v>1</v>
      </c>
      <c r="F4" s="221">
        <f>(Equipamentos!F8*1%)</f>
        <v>3039</v>
      </c>
      <c r="G4" s="221">
        <f>F4*E4</f>
        <v>3039</v>
      </c>
      <c r="H4" s="222">
        <f>G4/12</f>
        <v>253.25</v>
      </c>
    </row>
    <row r="5" spans="1:8" ht="30" customHeight="1" thickBot="1" x14ac:dyDescent="0.3">
      <c r="A5" s="215" t="s">
        <v>158</v>
      </c>
      <c r="B5" s="216" t="s">
        <v>237</v>
      </c>
      <c r="C5" s="216" t="s">
        <v>159</v>
      </c>
      <c r="D5" s="216" t="s">
        <v>281</v>
      </c>
      <c r="E5" s="216" t="s">
        <v>282</v>
      </c>
      <c r="F5" s="216" t="s">
        <v>283</v>
      </c>
      <c r="G5" s="216" t="s">
        <v>211</v>
      </c>
      <c r="H5" s="217" t="s">
        <v>164</v>
      </c>
    </row>
    <row r="6" spans="1:8" ht="30" customHeight="1" x14ac:dyDescent="0.25">
      <c r="A6" s="223">
        <v>2</v>
      </c>
      <c r="B6" s="224" t="s">
        <v>284</v>
      </c>
      <c r="C6" s="225" t="s">
        <v>285</v>
      </c>
      <c r="D6" s="226">
        <v>3.5</v>
      </c>
      <c r="E6" s="226">
        <f>D6*12</f>
        <v>42</v>
      </c>
      <c r="F6" s="227">
        <v>27.66</v>
      </c>
      <c r="G6" s="227">
        <f>F6*E6</f>
        <v>1161.72</v>
      </c>
      <c r="H6" s="228">
        <f>G6/12</f>
        <v>96.81</v>
      </c>
    </row>
    <row r="7" spans="1:8" ht="30" customHeight="1" thickBot="1" x14ac:dyDescent="0.3">
      <c r="A7" s="229">
        <v>3</v>
      </c>
      <c r="B7" s="230" t="s">
        <v>286</v>
      </c>
      <c r="C7" s="231" t="s">
        <v>285</v>
      </c>
      <c r="D7" s="232">
        <v>3.5</v>
      </c>
      <c r="E7" s="232">
        <f>D7*12</f>
        <v>42</v>
      </c>
      <c r="F7" s="233">
        <v>34.79</v>
      </c>
      <c r="G7" s="233">
        <f>F7*E7</f>
        <v>1461.18</v>
      </c>
      <c r="H7" s="70">
        <f>G7/12</f>
        <v>121.77</v>
      </c>
    </row>
    <row r="8" spans="1:8" ht="15" customHeight="1" thickBot="1" x14ac:dyDescent="0.3">
      <c r="A8" s="439"/>
      <c r="B8" s="440"/>
      <c r="C8" s="440"/>
      <c r="D8" s="440"/>
      <c r="E8" s="440"/>
      <c r="F8" s="440"/>
      <c r="G8" s="441"/>
      <c r="H8" s="234">
        <f>SUM(H4:H7)</f>
        <v>471.83</v>
      </c>
    </row>
    <row r="9" spans="1:8" ht="15" customHeight="1" thickBot="1" x14ac:dyDescent="0.3">
      <c r="A9" s="445"/>
      <c r="B9" s="446"/>
      <c r="C9" s="446"/>
      <c r="D9" s="446"/>
      <c r="E9" s="446"/>
      <c r="F9" s="446"/>
      <c r="G9" s="446"/>
      <c r="H9" s="447"/>
    </row>
    <row r="10" spans="1:8" ht="15" customHeight="1" thickBot="1" x14ac:dyDescent="0.3">
      <c r="A10" s="442" t="s">
        <v>238</v>
      </c>
      <c r="B10" s="443"/>
      <c r="C10" s="443"/>
      <c r="D10" s="443"/>
      <c r="E10" s="443"/>
      <c r="F10" s="443"/>
      <c r="G10" s="443"/>
      <c r="H10" s="444"/>
    </row>
    <row r="11" spans="1:8" ht="30" customHeight="1" thickBot="1" x14ac:dyDescent="0.3">
      <c r="A11" s="235" t="s">
        <v>158</v>
      </c>
      <c r="B11" s="236" t="s">
        <v>237</v>
      </c>
      <c r="C11" s="236" t="s">
        <v>159</v>
      </c>
      <c r="D11" s="236" t="s">
        <v>281</v>
      </c>
      <c r="E11" s="236" t="s">
        <v>282</v>
      </c>
      <c r="F11" s="236" t="s">
        <v>161</v>
      </c>
      <c r="G11" s="236" t="s">
        <v>211</v>
      </c>
      <c r="H11" s="237" t="s">
        <v>164</v>
      </c>
    </row>
    <row r="12" spans="1:8" ht="350.1" customHeight="1" thickBot="1" x14ac:dyDescent="0.3">
      <c r="A12" s="238">
        <v>1</v>
      </c>
      <c r="B12" s="100" t="s">
        <v>260</v>
      </c>
      <c r="C12" s="239" t="s">
        <v>159</v>
      </c>
      <c r="D12" s="239">
        <v>1</v>
      </c>
      <c r="E12" s="240">
        <f>D12</f>
        <v>1</v>
      </c>
      <c r="F12" s="241">
        <f>(Equipamentos!F16*1%)</f>
        <v>3150</v>
      </c>
      <c r="G12" s="241">
        <f>F12*E12</f>
        <v>3150</v>
      </c>
      <c r="H12" s="242">
        <f>G12/12</f>
        <v>262.5</v>
      </c>
    </row>
    <row r="13" spans="1:8" ht="30" customHeight="1" thickBot="1" x14ac:dyDescent="0.3">
      <c r="A13" s="215" t="s">
        <v>158</v>
      </c>
      <c r="B13" s="216" t="s">
        <v>237</v>
      </c>
      <c r="C13" s="216" t="s">
        <v>159</v>
      </c>
      <c r="D13" s="216" t="s">
        <v>281</v>
      </c>
      <c r="E13" s="216" t="s">
        <v>282</v>
      </c>
      <c r="F13" s="216" t="s">
        <v>283</v>
      </c>
      <c r="G13" s="216" t="s">
        <v>211</v>
      </c>
      <c r="H13" s="217" t="s">
        <v>164</v>
      </c>
    </row>
    <row r="14" spans="1:8" ht="30" customHeight="1" x14ac:dyDescent="0.25">
      <c r="A14" s="223">
        <v>2</v>
      </c>
      <c r="B14" s="224" t="s">
        <v>284</v>
      </c>
      <c r="C14" s="225" t="s">
        <v>285</v>
      </c>
      <c r="D14" s="226">
        <v>3.5</v>
      </c>
      <c r="E14" s="226">
        <f>D14*12</f>
        <v>42</v>
      </c>
      <c r="F14" s="227">
        <v>27.66</v>
      </c>
      <c r="G14" s="227">
        <f>F14*E14</f>
        <v>1161.72</v>
      </c>
      <c r="H14" s="228">
        <f>G14/12</f>
        <v>96.81</v>
      </c>
    </row>
    <row r="15" spans="1:8" ht="30" customHeight="1" thickBot="1" x14ac:dyDescent="0.3">
      <c r="A15" s="229">
        <v>3</v>
      </c>
      <c r="B15" s="230" t="s">
        <v>286</v>
      </c>
      <c r="C15" s="231" t="s">
        <v>285</v>
      </c>
      <c r="D15" s="232">
        <v>3.5</v>
      </c>
      <c r="E15" s="232">
        <f>D15*12</f>
        <v>42</v>
      </c>
      <c r="F15" s="233">
        <v>34.79</v>
      </c>
      <c r="G15" s="233">
        <f>F15*E15</f>
        <v>1461.18</v>
      </c>
      <c r="H15" s="243">
        <f>G15/12</f>
        <v>121.77</v>
      </c>
    </row>
    <row r="16" spans="1:8" ht="15" customHeight="1" thickBot="1" x14ac:dyDescent="0.3">
      <c r="A16" s="442"/>
      <c r="B16" s="443"/>
      <c r="C16" s="443"/>
      <c r="D16" s="443"/>
      <c r="E16" s="443"/>
      <c r="F16" s="443"/>
      <c r="G16" s="444"/>
      <c r="H16" s="234">
        <f>SUM(H12:H15)</f>
        <v>481.08</v>
      </c>
    </row>
    <row r="17" spans="1:8" ht="15.75" thickBot="1" x14ac:dyDescent="0.3">
      <c r="A17" s="436"/>
      <c r="B17" s="437"/>
      <c r="C17" s="437"/>
      <c r="D17" s="437"/>
      <c r="E17" s="437"/>
      <c r="F17" s="437"/>
      <c r="G17" s="437"/>
      <c r="H17" s="438"/>
    </row>
    <row r="18" spans="1:8" ht="15.75" thickBot="1" x14ac:dyDescent="0.3">
      <c r="A18" s="312" t="s">
        <v>252</v>
      </c>
      <c r="B18" s="313"/>
      <c r="C18" s="313"/>
      <c r="D18" s="313"/>
      <c r="E18" s="313"/>
      <c r="F18" s="313"/>
      <c r="G18" s="314"/>
      <c r="H18" s="43">
        <f>H8/8</f>
        <v>58.98</v>
      </c>
    </row>
    <row r="19" spans="1:8" ht="15.75" thickBot="1" x14ac:dyDescent="0.3">
      <c r="A19" s="312" t="s">
        <v>251</v>
      </c>
      <c r="B19" s="313"/>
      <c r="C19" s="313"/>
      <c r="D19" s="313"/>
      <c r="E19" s="313"/>
      <c r="F19" s="313"/>
      <c r="G19" s="314"/>
      <c r="H19" s="43">
        <f>H16/12</f>
        <v>40.090000000000003</v>
      </c>
    </row>
    <row r="20" spans="1:8" ht="15.75" thickBot="1" x14ac:dyDescent="0.3">
      <c r="A20" s="312" t="s">
        <v>226</v>
      </c>
      <c r="B20" s="313"/>
      <c r="C20" s="313"/>
      <c r="D20" s="313"/>
      <c r="E20" s="313"/>
      <c r="F20" s="313"/>
      <c r="G20" s="314"/>
      <c r="H20" s="43">
        <f>H8/8</f>
        <v>58.98</v>
      </c>
    </row>
    <row r="21" spans="1:8" ht="15.75" thickBot="1" x14ac:dyDescent="0.3">
      <c r="A21" s="312" t="s">
        <v>227</v>
      </c>
      <c r="B21" s="313"/>
      <c r="C21" s="313"/>
      <c r="D21" s="313"/>
      <c r="E21" s="313"/>
      <c r="F21" s="313"/>
      <c r="G21" s="314"/>
      <c r="H21" s="43">
        <f>H16/12</f>
        <v>40.090000000000003</v>
      </c>
    </row>
    <row r="22" spans="1:8" ht="15" customHeight="1" thickBot="1" x14ac:dyDescent="0.3">
      <c r="A22" s="457" t="s">
        <v>234</v>
      </c>
      <c r="B22" s="458"/>
      <c r="C22" s="458"/>
      <c r="D22" s="458"/>
      <c r="E22" s="458"/>
      <c r="F22" s="458"/>
      <c r="G22" s="458"/>
      <c r="H22" s="459"/>
    </row>
    <row r="23" spans="1:8" x14ac:dyDescent="0.25">
      <c r="A23" s="448" t="s">
        <v>274</v>
      </c>
      <c r="B23" s="449"/>
      <c r="C23" s="449"/>
      <c r="D23" s="449"/>
      <c r="E23" s="449"/>
      <c r="F23" s="449"/>
      <c r="G23" s="449"/>
      <c r="H23" s="450"/>
    </row>
    <row r="24" spans="1:8" x14ac:dyDescent="0.25">
      <c r="A24" s="451"/>
      <c r="B24" s="452"/>
      <c r="C24" s="452"/>
      <c r="D24" s="452"/>
      <c r="E24" s="452"/>
      <c r="F24" s="452"/>
      <c r="G24" s="452"/>
      <c r="H24" s="453"/>
    </row>
    <row r="25" spans="1:8" x14ac:dyDescent="0.25">
      <c r="A25" s="451"/>
      <c r="B25" s="452"/>
      <c r="C25" s="452"/>
      <c r="D25" s="452"/>
      <c r="E25" s="452"/>
      <c r="F25" s="452"/>
      <c r="G25" s="452"/>
      <c r="H25" s="453"/>
    </row>
    <row r="26" spans="1:8" x14ac:dyDescent="0.25">
      <c r="A26" s="451"/>
      <c r="B26" s="452"/>
      <c r="C26" s="452"/>
      <c r="D26" s="452"/>
      <c r="E26" s="452"/>
      <c r="F26" s="452"/>
      <c r="G26" s="452"/>
      <c r="H26" s="453"/>
    </row>
    <row r="27" spans="1:8" ht="15.75" thickBot="1" x14ac:dyDescent="0.3">
      <c r="A27" s="454"/>
      <c r="B27" s="455"/>
      <c r="C27" s="455"/>
      <c r="D27" s="455"/>
      <c r="E27" s="455"/>
      <c r="F27" s="455"/>
      <c r="G27" s="455"/>
      <c r="H27" s="456"/>
    </row>
    <row r="28" spans="1:8" x14ac:dyDescent="0.25">
      <c r="A28" s="73"/>
      <c r="B28" s="73"/>
      <c r="C28" s="73"/>
      <c r="D28" s="73"/>
      <c r="E28" s="73"/>
      <c r="F28" s="73"/>
      <c r="G28" s="73"/>
      <c r="H28" s="73"/>
    </row>
    <row r="29" spans="1:8" x14ac:dyDescent="0.25">
      <c r="A29" s="73"/>
      <c r="B29" s="73"/>
      <c r="C29" s="73"/>
      <c r="D29" s="73"/>
      <c r="E29" s="73"/>
      <c r="F29" s="73"/>
      <c r="G29" s="73"/>
      <c r="H29" s="73"/>
    </row>
    <row r="30" spans="1:8" x14ac:dyDescent="0.25">
      <c r="A30" s="73"/>
      <c r="B30" s="73"/>
      <c r="C30" s="73"/>
      <c r="D30" s="73"/>
      <c r="E30" s="73"/>
      <c r="F30" s="73"/>
      <c r="G30" s="73"/>
      <c r="H30" s="73"/>
    </row>
  </sheetData>
  <mergeCells count="13">
    <mergeCell ref="A23:H27"/>
    <mergeCell ref="A20:G20"/>
    <mergeCell ref="A21:G21"/>
    <mergeCell ref="A19:G19"/>
    <mergeCell ref="A18:G18"/>
    <mergeCell ref="A22:H22"/>
    <mergeCell ref="A17:H17"/>
    <mergeCell ref="A1:H1"/>
    <mergeCell ref="A2:H2"/>
    <mergeCell ref="A8:G8"/>
    <mergeCell ref="A9:H9"/>
    <mergeCell ref="A10:H10"/>
    <mergeCell ref="A16:G16"/>
  </mergeCells>
  <pageMargins left="0.511811024" right="0.511811024" top="0.78740157499999996" bottom="0.78740157499999996" header="0.31496062000000002" footer="0.31496062000000002"/>
  <pageSetup paperSize="9" scale="4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H35"/>
  <sheetViews>
    <sheetView view="pageBreakPreview" topLeftCell="A7" zoomScaleNormal="100" zoomScaleSheetLayoutView="100" workbookViewId="0">
      <selection activeCell="E21" sqref="E21"/>
    </sheetView>
  </sheetViews>
  <sheetFormatPr defaultRowHeight="15" x14ac:dyDescent="0.25"/>
  <cols>
    <col min="1" max="1" width="9.85546875" bestFit="1" customWidth="1"/>
    <col min="2" max="2" width="60.7109375" customWidth="1"/>
    <col min="3" max="3" width="11.5703125" bestFit="1" customWidth="1"/>
    <col min="4" max="5" width="15.7109375" customWidth="1"/>
    <col min="6" max="8" width="20.7109375" customWidth="1"/>
  </cols>
  <sheetData>
    <row r="1" spans="1:8" ht="15" customHeight="1" thickBot="1" x14ac:dyDescent="0.3">
      <c r="A1" s="439" t="s">
        <v>162</v>
      </c>
      <c r="B1" s="440"/>
      <c r="C1" s="440"/>
      <c r="D1" s="440"/>
      <c r="E1" s="440"/>
      <c r="F1" s="440"/>
      <c r="G1" s="440"/>
      <c r="H1" s="441"/>
    </row>
    <row r="2" spans="1:8" ht="15" customHeight="1" thickBot="1" x14ac:dyDescent="0.3">
      <c r="A2" s="462" t="s">
        <v>233</v>
      </c>
      <c r="B2" s="463"/>
      <c r="C2" s="463"/>
      <c r="D2" s="463"/>
      <c r="E2" s="463"/>
      <c r="F2" s="463"/>
      <c r="G2" s="463"/>
      <c r="H2" s="464"/>
    </row>
    <row r="3" spans="1:8" ht="15" customHeight="1" x14ac:dyDescent="0.25">
      <c r="A3" s="60" t="s">
        <v>158</v>
      </c>
      <c r="B3" s="61" t="s">
        <v>228</v>
      </c>
      <c r="C3" s="61" t="s">
        <v>159</v>
      </c>
      <c r="D3" s="61" t="s">
        <v>160</v>
      </c>
      <c r="E3" s="61" t="s">
        <v>163</v>
      </c>
      <c r="F3" s="61" t="s">
        <v>161</v>
      </c>
      <c r="G3" s="61" t="s">
        <v>211</v>
      </c>
      <c r="H3" s="62" t="s">
        <v>164</v>
      </c>
    </row>
    <row r="4" spans="1:8" ht="45" customHeight="1" x14ac:dyDescent="0.25">
      <c r="A4" s="50">
        <v>1</v>
      </c>
      <c r="B4" s="153" t="s">
        <v>229</v>
      </c>
      <c r="C4" s="40">
        <v>1</v>
      </c>
      <c r="D4" s="44">
        <v>12</v>
      </c>
      <c r="E4" s="40">
        <v>12</v>
      </c>
      <c r="F4" s="48">
        <f>F8*5%</f>
        <v>15195</v>
      </c>
      <c r="G4" s="48">
        <f>F4*C4</f>
        <v>15195</v>
      </c>
      <c r="H4" s="49">
        <f>G4/12</f>
        <v>1266.25</v>
      </c>
    </row>
    <row r="5" spans="1:8" ht="15" customHeight="1" x14ac:dyDescent="0.25">
      <c r="A5" s="47"/>
      <c r="B5" s="45" t="s">
        <v>230</v>
      </c>
      <c r="C5" s="45"/>
      <c r="D5" s="45"/>
      <c r="E5" s="45"/>
      <c r="F5" s="63"/>
      <c r="G5" s="63"/>
      <c r="H5" s="64"/>
    </row>
    <row r="6" spans="1:8" ht="140.1" customHeight="1" x14ac:dyDescent="0.25">
      <c r="A6" s="50">
        <v>1</v>
      </c>
      <c r="B6" s="212" t="s">
        <v>231</v>
      </c>
      <c r="C6" s="40">
        <v>1</v>
      </c>
      <c r="D6" s="44">
        <v>12</v>
      </c>
      <c r="E6" s="40">
        <v>12</v>
      </c>
      <c r="F6" s="48">
        <f>F8*10%</f>
        <v>30390</v>
      </c>
      <c r="G6" s="48">
        <f>F6*C6</f>
        <v>30390</v>
      </c>
      <c r="H6" s="49">
        <f>G6/12</f>
        <v>2532.5</v>
      </c>
    </row>
    <row r="7" spans="1:8" ht="15" customHeight="1" x14ac:dyDescent="0.25">
      <c r="A7" s="47" t="s">
        <v>158</v>
      </c>
      <c r="B7" s="46" t="s">
        <v>178</v>
      </c>
      <c r="C7" s="45" t="s">
        <v>159</v>
      </c>
      <c r="D7" s="45" t="s">
        <v>160</v>
      </c>
      <c r="E7" s="45" t="s">
        <v>163</v>
      </c>
      <c r="F7" s="63" t="s">
        <v>161</v>
      </c>
      <c r="G7" s="63" t="s">
        <v>211</v>
      </c>
      <c r="H7" s="64" t="s">
        <v>164</v>
      </c>
    </row>
    <row r="8" spans="1:8" ht="15" customHeight="1" thickBot="1" x14ac:dyDescent="0.3">
      <c r="A8" s="65">
        <v>1</v>
      </c>
      <c r="B8" s="213" t="s">
        <v>179</v>
      </c>
      <c r="C8" s="66" t="s">
        <v>159</v>
      </c>
      <c r="D8" s="67">
        <v>1</v>
      </c>
      <c r="E8" s="66">
        <v>60</v>
      </c>
      <c r="F8" s="68">
        <v>303900</v>
      </c>
      <c r="G8" s="69">
        <f>F8*D8</f>
        <v>303900</v>
      </c>
      <c r="H8" s="70">
        <f>(G8/E8)</f>
        <v>5065</v>
      </c>
    </row>
    <row r="9" spans="1:8" ht="15" customHeight="1" thickBot="1" x14ac:dyDescent="0.3">
      <c r="A9" s="71"/>
      <c r="B9" s="214"/>
      <c r="C9" s="214"/>
      <c r="D9" s="214"/>
      <c r="E9" s="214"/>
      <c r="F9" s="214"/>
      <c r="G9" s="214"/>
      <c r="H9" s="72"/>
    </row>
    <row r="10" spans="1:8" ht="15" customHeight="1" thickBot="1" x14ac:dyDescent="0.3">
      <c r="A10" s="465" t="s">
        <v>232</v>
      </c>
      <c r="B10" s="466"/>
      <c r="C10" s="466"/>
      <c r="D10" s="466"/>
      <c r="E10" s="466"/>
      <c r="F10" s="466"/>
      <c r="G10" s="466"/>
      <c r="H10" s="467"/>
    </row>
    <row r="11" spans="1:8" ht="15" customHeight="1" x14ac:dyDescent="0.25">
      <c r="A11" s="60" t="s">
        <v>158</v>
      </c>
      <c r="B11" s="61" t="s">
        <v>228</v>
      </c>
      <c r="C11" s="61" t="s">
        <v>159</v>
      </c>
      <c r="D11" s="61" t="s">
        <v>160</v>
      </c>
      <c r="E11" s="61" t="s">
        <v>163</v>
      </c>
      <c r="F11" s="61" t="s">
        <v>161</v>
      </c>
      <c r="G11" s="61" t="s">
        <v>211</v>
      </c>
      <c r="H11" s="62" t="s">
        <v>164</v>
      </c>
    </row>
    <row r="12" spans="1:8" ht="45" customHeight="1" x14ac:dyDescent="0.25">
      <c r="A12" s="50">
        <v>1</v>
      </c>
      <c r="B12" s="153" t="s">
        <v>229</v>
      </c>
      <c r="C12" s="40">
        <v>1</v>
      </c>
      <c r="D12" s="44">
        <v>12</v>
      </c>
      <c r="E12" s="40">
        <v>12</v>
      </c>
      <c r="F12" s="48">
        <f>F16*5%</f>
        <v>15750</v>
      </c>
      <c r="G12" s="48">
        <f>F12*C12</f>
        <v>15750</v>
      </c>
      <c r="H12" s="49">
        <f>G12/12</f>
        <v>1312.5</v>
      </c>
    </row>
    <row r="13" spans="1:8" ht="15" customHeight="1" x14ac:dyDescent="0.25">
      <c r="A13" s="47"/>
      <c r="B13" s="45" t="s">
        <v>230</v>
      </c>
      <c r="C13" s="45"/>
      <c r="D13" s="45"/>
      <c r="E13" s="45"/>
      <c r="F13" s="63"/>
      <c r="G13" s="63"/>
      <c r="H13" s="64"/>
    </row>
    <row r="14" spans="1:8" ht="140.1" customHeight="1" x14ac:dyDescent="0.25">
      <c r="A14" s="50">
        <v>1</v>
      </c>
      <c r="B14" s="212" t="s">
        <v>231</v>
      </c>
      <c r="C14" s="40">
        <v>1</v>
      </c>
      <c r="D14" s="44">
        <v>12</v>
      </c>
      <c r="E14" s="40">
        <v>12</v>
      </c>
      <c r="F14" s="48">
        <f>F16*10%</f>
        <v>31500</v>
      </c>
      <c r="G14" s="48">
        <f>F14*C14</f>
        <v>31500</v>
      </c>
      <c r="H14" s="49">
        <f>G14/12</f>
        <v>2625</v>
      </c>
    </row>
    <row r="15" spans="1:8" ht="15" customHeight="1" x14ac:dyDescent="0.25">
      <c r="A15" s="47" t="s">
        <v>158</v>
      </c>
      <c r="B15" s="46" t="s">
        <v>178</v>
      </c>
      <c r="C15" s="45" t="s">
        <v>159</v>
      </c>
      <c r="D15" s="45" t="s">
        <v>160</v>
      </c>
      <c r="E15" s="45" t="s">
        <v>163</v>
      </c>
      <c r="F15" s="63" t="s">
        <v>161</v>
      </c>
      <c r="G15" s="63" t="s">
        <v>211</v>
      </c>
      <c r="H15" s="64" t="s">
        <v>164</v>
      </c>
    </row>
    <row r="16" spans="1:8" ht="15" customHeight="1" thickBot="1" x14ac:dyDescent="0.3">
      <c r="A16" s="65">
        <v>1</v>
      </c>
      <c r="B16" s="213" t="s">
        <v>225</v>
      </c>
      <c r="C16" s="66" t="s">
        <v>159</v>
      </c>
      <c r="D16" s="67">
        <v>1</v>
      </c>
      <c r="E16" s="66">
        <v>60</v>
      </c>
      <c r="F16" s="68">
        <v>315000</v>
      </c>
      <c r="G16" s="69">
        <f>F16*D16</f>
        <v>315000</v>
      </c>
      <c r="H16" s="70">
        <f>(G16/E16)</f>
        <v>5250</v>
      </c>
    </row>
    <row r="17" spans="1:8" ht="15" customHeight="1" thickBot="1" x14ac:dyDescent="0.3">
      <c r="A17" s="436"/>
      <c r="B17" s="437"/>
      <c r="C17" s="437"/>
      <c r="D17" s="437"/>
      <c r="E17" s="437"/>
      <c r="F17" s="437"/>
      <c r="G17" s="437"/>
      <c r="H17" s="438"/>
    </row>
    <row r="18" spans="1:8" ht="15" customHeight="1" thickBot="1" x14ac:dyDescent="0.3">
      <c r="A18" s="312" t="s">
        <v>252</v>
      </c>
      <c r="B18" s="313"/>
      <c r="C18" s="313"/>
      <c r="D18" s="313"/>
      <c r="E18" s="313"/>
      <c r="F18" s="313"/>
      <c r="G18" s="314"/>
      <c r="H18" s="43">
        <f>SUM(H4:H8)/8</f>
        <v>1107.97</v>
      </c>
    </row>
    <row r="19" spans="1:8" ht="15" customHeight="1" thickBot="1" x14ac:dyDescent="0.3">
      <c r="A19" s="312" t="s">
        <v>251</v>
      </c>
      <c r="B19" s="313"/>
      <c r="C19" s="313"/>
      <c r="D19" s="313"/>
      <c r="E19" s="313"/>
      <c r="F19" s="313"/>
      <c r="G19" s="314"/>
      <c r="H19" s="43">
        <f>SUM(H12:H16)/12</f>
        <v>765.63</v>
      </c>
    </row>
    <row r="20" spans="1:8" ht="15" customHeight="1" thickBot="1" x14ac:dyDescent="0.3">
      <c r="A20" s="312" t="s">
        <v>226</v>
      </c>
      <c r="B20" s="313"/>
      <c r="C20" s="313"/>
      <c r="D20" s="313"/>
      <c r="E20" s="313"/>
      <c r="F20" s="313"/>
      <c r="G20" s="314"/>
      <c r="H20" s="43">
        <f>SUM(H4:H8)/8</f>
        <v>1107.97</v>
      </c>
    </row>
    <row r="21" spans="1:8" ht="15" customHeight="1" thickBot="1" x14ac:dyDescent="0.3">
      <c r="A21" s="312" t="s">
        <v>227</v>
      </c>
      <c r="B21" s="313"/>
      <c r="C21" s="313"/>
      <c r="D21" s="313"/>
      <c r="E21" s="313"/>
      <c r="F21" s="313"/>
      <c r="G21" s="314"/>
      <c r="H21" s="43">
        <f>SUM(H12:H16)/12</f>
        <v>765.63</v>
      </c>
    </row>
    <row r="22" spans="1:8" ht="15.75" thickBot="1" x14ac:dyDescent="0.3">
      <c r="A22" s="457" t="s">
        <v>234</v>
      </c>
      <c r="B22" s="460"/>
      <c r="C22" s="460"/>
      <c r="D22" s="460"/>
      <c r="E22" s="460"/>
      <c r="F22" s="460"/>
      <c r="G22" s="460"/>
      <c r="H22" s="461"/>
    </row>
    <row r="23" spans="1:8" x14ac:dyDescent="0.25">
      <c r="A23" s="427" t="s">
        <v>307</v>
      </c>
      <c r="B23" s="428"/>
      <c r="C23" s="428"/>
      <c r="D23" s="428"/>
      <c r="E23" s="428"/>
      <c r="F23" s="428"/>
      <c r="G23" s="428"/>
      <c r="H23" s="429"/>
    </row>
    <row r="24" spans="1:8" x14ac:dyDescent="0.25">
      <c r="A24" s="430"/>
      <c r="B24" s="431"/>
      <c r="C24" s="431"/>
      <c r="D24" s="431"/>
      <c r="E24" s="431"/>
      <c r="F24" s="431"/>
      <c r="G24" s="431"/>
      <c r="H24" s="432"/>
    </row>
    <row r="25" spans="1:8" x14ac:dyDescent="0.25">
      <c r="A25" s="430"/>
      <c r="B25" s="431"/>
      <c r="C25" s="431"/>
      <c r="D25" s="431"/>
      <c r="E25" s="431"/>
      <c r="F25" s="431"/>
      <c r="G25" s="431"/>
      <c r="H25" s="432"/>
    </row>
    <row r="26" spans="1:8" x14ac:dyDescent="0.25">
      <c r="A26" s="430"/>
      <c r="B26" s="431"/>
      <c r="C26" s="431"/>
      <c r="D26" s="431"/>
      <c r="E26" s="431"/>
      <c r="F26" s="431"/>
      <c r="G26" s="431"/>
      <c r="H26" s="432"/>
    </row>
    <row r="27" spans="1:8" x14ac:dyDescent="0.25">
      <c r="A27" s="430"/>
      <c r="B27" s="431"/>
      <c r="C27" s="431"/>
      <c r="D27" s="431"/>
      <c r="E27" s="431"/>
      <c r="F27" s="431"/>
      <c r="G27" s="431"/>
      <c r="H27" s="432"/>
    </row>
    <row r="28" spans="1:8" x14ac:dyDescent="0.25">
      <c r="A28" s="430"/>
      <c r="B28" s="431"/>
      <c r="C28" s="431"/>
      <c r="D28" s="431"/>
      <c r="E28" s="431"/>
      <c r="F28" s="431"/>
      <c r="G28" s="431"/>
      <c r="H28" s="432"/>
    </row>
    <row r="29" spans="1:8" x14ac:dyDescent="0.25">
      <c r="A29" s="430"/>
      <c r="B29" s="431"/>
      <c r="C29" s="431"/>
      <c r="D29" s="431"/>
      <c r="E29" s="431"/>
      <c r="F29" s="431"/>
      <c r="G29" s="431"/>
      <c r="H29" s="432"/>
    </row>
    <row r="30" spans="1:8" x14ac:dyDescent="0.25">
      <c r="A30" s="430"/>
      <c r="B30" s="431"/>
      <c r="C30" s="431"/>
      <c r="D30" s="431"/>
      <c r="E30" s="431"/>
      <c r="F30" s="431"/>
      <c r="G30" s="431"/>
      <c r="H30" s="432"/>
    </row>
    <row r="31" spans="1:8" x14ac:dyDescent="0.25">
      <c r="A31" s="430"/>
      <c r="B31" s="431"/>
      <c r="C31" s="431"/>
      <c r="D31" s="431"/>
      <c r="E31" s="431"/>
      <c r="F31" s="431"/>
      <c r="G31" s="431"/>
      <c r="H31" s="432"/>
    </row>
    <row r="32" spans="1:8" x14ac:dyDescent="0.25">
      <c r="A32" s="430"/>
      <c r="B32" s="431"/>
      <c r="C32" s="431"/>
      <c r="D32" s="431"/>
      <c r="E32" s="431"/>
      <c r="F32" s="431"/>
      <c r="G32" s="431"/>
      <c r="H32" s="432"/>
    </row>
    <row r="33" spans="1:8" x14ac:dyDescent="0.25">
      <c r="A33" s="430"/>
      <c r="B33" s="431"/>
      <c r="C33" s="431"/>
      <c r="D33" s="431"/>
      <c r="E33" s="431"/>
      <c r="F33" s="431"/>
      <c r="G33" s="431"/>
      <c r="H33" s="432"/>
    </row>
    <row r="34" spans="1:8" x14ac:dyDescent="0.25">
      <c r="A34" s="430"/>
      <c r="B34" s="431"/>
      <c r="C34" s="431"/>
      <c r="D34" s="431"/>
      <c r="E34" s="431"/>
      <c r="F34" s="431"/>
      <c r="G34" s="431"/>
      <c r="H34" s="432"/>
    </row>
    <row r="35" spans="1:8" ht="15.75" thickBot="1" x14ac:dyDescent="0.3">
      <c r="A35" s="433"/>
      <c r="B35" s="434"/>
      <c r="C35" s="434"/>
      <c r="D35" s="434"/>
      <c r="E35" s="434"/>
      <c r="F35" s="434"/>
      <c r="G35" s="434"/>
      <c r="H35" s="435"/>
    </row>
  </sheetData>
  <mergeCells count="10">
    <mergeCell ref="A23:H35"/>
    <mergeCell ref="A22:H22"/>
    <mergeCell ref="A1:H1"/>
    <mergeCell ref="A2:H2"/>
    <mergeCell ref="A18:G18"/>
    <mergeCell ref="A20:G20"/>
    <mergeCell ref="A19:G19"/>
    <mergeCell ref="A21:G21"/>
    <mergeCell ref="A10:H10"/>
    <mergeCell ref="A17:H17"/>
  </mergeCells>
  <pageMargins left="0.511811024" right="0.511811024" top="0.78740157499999996" bottom="0.78740157499999996" header="0.31496062000000002" footer="0.31496062000000002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2"/>
  <sheetViews>
    <sheetView topLeftCell="A7" workbookViewId="0">
      <selection activeCell="E8" sqref="E8"/>
    </sheetView>
  </sheetViews>
  <sheetFormatPr defaultColWidth="42.85546875" defaultRowHeight="18.75" x14ac:dyDescent="0.3"/>
  <cols>
    <col min="1" max="1" width="42.85546875" style="3"/>
    <col min="2" max="2" width="72.5703125" style="3" customWidth="1"/>
    <col min="3" max="16384" width="42.85546875" style="20"/>
  </cols>
  <sheetData>
    <row r="1" spans="1:2" ht="19.5" thickBot="1" x14ac:dyDescent="0.35">
      <c r="A1" s="295" t="s">
        <v>92</v>
      </c>
      <c r="B1" s="295"/>
    </row>
    <row r="2" spans="1:2" ht="19.5" thickBot="1" x14ac:dyDescent="0.35">
      <c r="A2" s="21" t="s">
        <v>93</v>
      </c>
      <c r="B2" s="21" t="s">
        <v>94</v>
      </c>
    </row>
    <row r="3" spans="1:2" ht="19.5" thickBot="1" x14ac:dyDescent="0.35">
      <c r="A3" s="22" t="s">
        <v>95</v>
      </c>
      <c r="B3" s="23" t="s">
        <v>96</v>
      </c>
    </row>
    <row r="4" spans="1:2" ht="57" thickBot="1" x14ac:dyDescent="0.35">
      <c r="A4" s="24" t="s">
        <v>97</v>
      </c>
      <c r="B4" s="25" t="s">
        <v>98</v>
      </c>
    </row>
    <row r="5" spans="1:2" ht="19.5" thickBot="1" x14ac:dyDescent="0.35">
      <c r="A5" s="24" t="s">
        <v>99</v>
      </c>
      <c r="B5" s="25" t="s">
        <v>100</v>
      </c>
    </row>
    <row r="6" spans="1:2" ht="94.5" thickBot="1" x14ac:dyDescent="0.35">
      <c r="A6" s="24" t="s">
        <v>101</v>
      </c>
      <c r="B6" s="25" t="s">
        <v>102</v>
      </c>
    </row>
    <row r="7" spans="1:2" ht="38.25" thickBot="1" x14ac:dyDescent="0.35">
      <c r="A7" s="24" t="s">
        <v>103</v>
      </c>
      <c r="B7" s="25" t="s">
        <v>104</v>
      </c>
    </row>
    <row r="8" spans="1:2" ht="19.5" thickBot="1" x14ac:dyDescent="0.35">
      <c r="A8" s="24" t="s">
        <v>105</v>
      </c>
      <c r="B8" s="25" t="s">
        <v>106</v>
      </c>
    </row>
    <row r="9" spans="1:2" ht="38.25" thickBot="1" x14ac:dyDescent="0.35">
      <c r="A9" s="24" t="s">
        <v>107</v>
      </c>
      <c r="B9" s="25" t="s">
        <v>108</v>
      </c>
    </row>
    <row r="10" spans="1:2" ht="57" thickBot="1" x14ac:dyDescent="0.35">
      <c r="A10" s="24" t="s">
        <v>109</v>
      </c>
      <c r="B10" s="25" t="s">
        <v>110</v>
      </c>
    </row>
    <row r="11" spans="1:2" ht="75.75" thickBot="1" x14ac:dyDescent="0.35">
      <c r="A11" s="24" t="s">
        <v>111</v>
      </c>
      <c r="B11" s="25" t="s">
        <v>112</v>
      </c>
    </row>
    <row r="12" spans="1:2" ht="57" thickBot="1" x14ac:dyDescent="0.35">
      <c r="A12" s="24" t="s">
        <v>109</v>
      </c>
      <c r="B12" s="25" t="s">
        <v>113</v>
      </c>
    </row>
    <row r="13" spans="1:2" ht="38.25" thickBot="1" x14ac:dyDescent="0.35">
      <c r="A13" s="24" t="s">
        <v>109</v>
      </c>
      <c r="B13" s="25" t="s">
        <v>114</v>
      </c>
    </row>
    <row r="14" spans="1:2" ht="57" thickBot="1" x14ac:dyDescent="0.35">
      <c r="A14" s="24" t="s">
        <v>109</v>
      </c>
      <c r="B14" s="25" t="s">
        <v>115</v>
      </c>
    </row>
    <row r="15" spans="1:2" ht="19.5" thickBot="1" x14ac:dyDescent="0.35">
      <c r="A15" s="24" t="s">
        <v>109</v>
      </c>
      <c r="B15" s="25" t="s">
        <v>116</v>
      </c>
    </row>
    <row r="16" spans="1:2" ht="38.25" thickBot="1" x14ac:dyDescent="0.35">
      <c r="A16" s="24" t="s">
        <v>117</v>
      </c>
      <c r="B16" s="25" t="s">
        <v>118</v>
      </c>
    </row>
    <row r="17" spans="1:2" ht="38.25" thickBot="1" x14ac:dyDescent="0.35">
      <c r="A17" s="24" t="s">
        <v>119</v>
      </c>
      <c r="B17" s="25" t="s">
        <v>120</v>
      </c>
    </row>
    <row r="18" spans="1:2" ht="38.25" thickBot="1" x14ac:dyDescent="0.35">
      <c r="A18" s="24" t="s">
        <v>109</v>
      </c>
      <c r="B18" s="25" t="s">
        <v>121</v>
      </c>
    </row>
    <row r="19" spans="1:2" ht="57" thickBot="1" x14ac:dyDescent="0.35">
      <c r="A19" s="24" t="s">
        <v>109</v>
      </c>
      <c r="B19" s="25" t="s">
        <v>122</v>
      </c>
    </row>
    <row r="20" spans="1:2" ht="38.25" thickBot="1" x14ac:dyDescent="0.35">
      <c r="A20" s="24" t="s">
        <v>109</v>
      </c>
      <c r="B20" s="25" t="s">
        <v>123</v>
      </c>
    </row>
    <row r="21" spans="1:2" ht="57" thickBot="1" x14ac:dyDescent="0.35">
      <c r="A21" s="24" t="s">
        <v>109</v>
      </c>
      <c r="B21" s="25" t="s">
        <v>124</v>
      </c>
    </row>
    <row r="22" spans="1:2" x14ac:dyDescent="0.3">
      <c r="A22" s="26" t="s">
        <v>109</v>
      </c>
      <c r="B22" s="27" t="s">
        <v>125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6"/>
  <sheetViews>
    <sheetView tabSelected="1" view="pageBreakPreview" topLeftCell="A4" zoomScale="80" zoomScaleNormal="80" zoomScaleSheetLayoutView="80" workbookViewId="0">
      <selection activeCell="E6" sqref="E6"/>
    </sheetView>
  </sheetViews>
  <sheetFormatPr defaultRowHeight="12.75" x14ac:dyDescent="0.25"/>
  <cols>
    <col min="1" max="1" width="10.7109375" style="53" customWidth="1"/>
    <col min="2" max="2" width="60.7109375" style="53" customWidth="1"/>
    <col min="3" max="8" width="20.7109375" style="53" customWidth="1"/>
    <col min="9" max="16384" width="9.140625" style="53"/>
  </cols>
  <sheetData>
    <row r="1" spans="1:8" ht="15.75" customHeight="1" x14ac:dyDescent="0.25">
      <c r="A1" s="299" t="s">
        <v>241</v>
      </c>
      <c r="B1" s="300"/>
      <c r="C1" s="300"/>
      <c r="D1" s="300"/>
      <c r="E1" s="300"/>
      <c r="F1" s="300"/>
      <c r="G1" s="300"/>
      <c r="H1" s="301"/>
    </row>
    <row r="2" spans="1:8" ht="45" customHeight="1" x14ac:dyDescent="0.25">
      <c r="A2" s="88" t="s">
        <v>261</v>
      </c>
      <c r="B2" s="41" t="s">
        <v>262</v>
      </c>
      <c r="C2" s="89" t="s">
        <v>263</v>
      </c>
      <c r="D2" s="90" t="s">
        <v>264</v>
      </c>
      <c r="E2" s="90" t="s">
        <v>265</v>
      </c>
      <c r="F2" s="41" t="s">
        <v>266</v>
      </c>
      <c r="G2" s="41" t="s">
        <v>267</v>
      </c>
      <c r="H2" s="42" t="s">
        <v>268</v>
      </c>
    </row>
    <row r="3" spans="1:8" ht="174.95" customHeight="1" x14ac:dyDescent="0.25">
      <c r="A3" s="56">
        <v>1</v>
      </c>
      <c r="B3" s="91" t="s">
        <v>272</v>
      </c>
      <c r="C3" s="55" t="s">
        <v>269</v>
      </c>
      <c r="D3" s="55" t="s">
        <v>270</v>
      </c>
      <c r="E3" s="54">
        <v>2</v>
      </c>
      <c r="F3" s="57">
        <f>('Motorista - Diurno'!D112+'Motorista - Noturno'!D113+'Técnico de Enfermagem - Diurno'!D113+'Técnico de Enfermagem - Noturno'!D113)*2</f>
        <v>102148.6</v>
      </c>
      <c r="G3" s="57">
        <f>F3*E3</f>
        <v>204297.2</v>
      </c>
      <c r="H3" s="58">
        <f>G3*12</f>
        <v>2451566.4</v>
      </c>
    </row>
    <row r="4" spans="1:8" ht="174.95" customHeight="1" x14ac:dyDescent="0.25">
      <c r="A4" s="56">
        <v>2</v>
      </c>
      <c r="B4" s="203" t="s">
        <v>309</v>
      </c>
      <c r="C4" s="55" t="s">
        <v>269</v>
      </c>
      <c r="D4" s="55" t="s">
        <v>270</v>
      </c>
      <c r="E4" s="54">
        <v>1</v>
      </c>
      <c r="F4" s="57">
        <f>('Motorista - Diurno'!E112+'Motorista - Noturno'!E113+'Enfermeiro - Diurno'!D112+'Enfermeiro - Noturno'!D113+'Médico - Diurno '!D112+'Médico - Noturno'!D112)*2</f>
        <v>305311.38</v>
      </c>
      <c r="G4" s="57">
        <f>F4*E4</f>
        <v>305311.38</v>
      </c>
      <c r="H4" s="58">
        <f>G4*12</f>
        <v>3663736.56</v>
      </c>
    </row>
    <row r="5" spans="1:8" ht="159.94999999999999" customHeight="1" x14ac:dyDescent="0.25">
      <c r="A5" s="56">
        <v>3</v>
      </c>
      <c r="B5" s="92" t="s">
        <v>273</v>
      </c>
      <c r="C5" s="55" t="s">
        <v>269</v>
      </c>
      <c r="D5" s="55" t="s">
        <v>270</v>
      </c>
      <c r="E5" s="54">
        <v>1</v>
      </c>
      <c r="F5" s="57">
        <f>('Motorista - Diurno'!G112+'Motorista - Noturno'!G113+'Enfermeiro - Diurno'!E112+'Enfermeiro - Noturno'!E113+'Médico - Diurno '!E112+'Médico - Noturno'!E112)*2</f>
        <v>305311.38</v>
      </c>
      <c r="G5" s="57">
        <f>F5*E5</f>
        <v>305311.38</v>
      </c>
      <c r="H5" s="58">
        <f>G5*12</f>
        <v>3663736.56</v>
      </c>
    </row>
    <row r="6" spans="1:8" ht="159.94999999999999" customHeight="1" thickBot="1" x14ac:dyDescent="0.3">
      <c r="A6" s="94">
        <v>4</v>
      </c>
      <c r="B6" s="95" t="s">
        <v>271</v>
      </c>
      <c r="C6" s="96" t="s">
        <v>269</v>
      </c>
      <c r="D6" s="96" t="s">
        <v>270</v>
      </c>
      <c r="E6" s="97">
        <v>2</v>
      </c>
      <c r="F6" s="98">
        <f>('Motorista - Diurno'!F112+'Motorista - Noturno'!F113+'Técnico de Enfermagem - Diurno'!E113+'Técnico de Enfermagem - Noturno'!E113)*2</f>
        <v>102148.6</v>
      </c>
      <c r="G6" s="98">
        <f>F6*E6</f>
        <v>204297.2</v>
      </c>
      <c r="H6" s="99">
        <f>G6*12</f>
        <v>2451566.4</v>
      </c>
    </row>
    <row r="7" spans="1:8" ht="15" customHeight="1" thickBot="1" x14ac:dyDescent="0.3">
      <c r="A7" s="302" t="s">
        <v>240</v>
      </c>
      <c r="B7" s="303"/>
      <c r="C7" s="303"/>
      <c r="D7" s="303"/>
      <c r="E7" s="303"/>
      <c r="F7" s="303"/>
      <c r="G7" s="303"/>
      <c r="H7" s="93">
        <f>SUM(H3:H6)</f>
        <v>12230605.92</v>
      </c>
    </row>
    <row r="8" spans="1:8" ht="15.75" thickBot="1" x14ac:dyDescent="0.3">
      <c r="A8" s="296"/>
      <c r="B8" s="297"/>
      <c r="C8" s="297"/>
      <c r="D8" s="297"/>
      <c r="E8" s="297"/>
      <c r="F8" s="297"/>
      <c r="G8" s="297"/>
      <c r="H8" s="298"/>
    </row>
    <row r="9" spans="1:8" ht="15.75" customHeight="1" x14ac:dyDescent="0.25">
      <c r="A9" s="318" t="s">
        <v>241</v>
      </c>
      <c r="B9" s="319"/>
      <c r="C9" s="319"/>
      <c r="D9" s="319"/>
      <c r="E9" s="319"/>
      <c r="F9" s="319"/>
      <c r="G9" s="319"/>
      <c r="H9" s="320"/>
    </row>
    <row r="10" spans="1:8" ht="45" x14ac:dyDescent="0.25">
      <c r="A10" s="321" t="s">
        <v>166</v>
      </c>
      <c r="B10" s="322"/>
      <c r="C10" s="41" t="s">
        <v>167</v>
      </c>
      <c r="D10" s="41" t="s">
        <v>168</v>
      </c>
      <c r="E10" s="41" t="s">
        <v>169</v>
      </c>
      <c r="F10" s="41" t="s">
        <v>170</v>
      </c>
      <c r="G10" s="41" t="s">
        <v>171</v>
      </c>
      <c r="H10" s="42" t="s">
        <v>172</v>
      </c>
    </row>
    <row r="11" spans="1:8" ht="15.75" thickBot="1" x14ac:dyDescent="0.3">
      <c r="A11" s="323" t="s">
        <v>173</v>
      </c>
      <c r="B11" s="324"/>
      <c r="C11" s="204" t="s">
        <v>174</v>
      </c>
      <c r="D11" s="204" t="s">
        <v>175</v>
      </c>
      <c r="E11" s="205" t="s">
        <v>213</v>
      </c>
      <c r="F11" s="205" t="s">
        <v>214</v>
      </c>
      <c r="G11" s="51" t="s">
        <v>176</v>
      </c>
      <c r="H11" s="52" t="s">
        <v>212</v>
      </c>
    </row>
    <row r="12" spans="1:8" ht="15.75" thickBot="1" x14ac:dyDescent="0.3">
      <c r="A12" s="315" t="s">
        <v>180</v>
      </c>
      <c r="B12" s="316"/>
      <c r="C12" s="316"/>
      <c r="D12" s="316"/>
      <c r="E12" s="316"/>
      <c r="F12" s="316"/>
      <c r="G12" s="316"/>
      <c r="H12" s="317"/>
    </row>
    <row r="13" spans="1:8" ht="15" x14ac:dyDescent="0.25">
      <c r="A13" s="306">
        <v>1</v>
      </c>
      <c r="B13" s="273" t="s">
        <v>275</v>
      </c>
      <c r="C13" s="274">
        <f>'Motorista - Diurno'!D112</f>
        <v>12450.41</v>
      </c>
      <c r="D13" s="275">
        <v>2</v>
      </c>
      <c r="E13" s="273">
        <v>2</v>
      </c>
      <c r="F13" s="274">
        <f>C13*D13</f>
        <v>24900.82</v>
      </c>
      <c r="G13" s="274">
        <f>F13*E13</f>
        <v>49801.64</v>
      </c>
      <c r="H13" s="276">
        <f t="shared" ref="H13:H14" si="0">G13*12</f>
        <v>597619.68000000005</v>
      </c>
    </row>
    <row r="14" spans="1:8" ht="15" x14ac:dyDescent="0.25">
      <c r="A14" s="307"/>
      <c r="B14" s="75" t="s">
        <v>276</v>
      </c>
      <c r="C14" s="76">
        <f>'Motorista - Noturno'!D113</f>
        <v>13523.46</v>
      </c>
      <c r="D14" s="267">
        <v>2</v>
      </c>
      <c r="E14" s="75">
        <v>2</v>
      </c>
      <c r="F14" s="76">
        <f>C14*D14</f>
        <v>27046.92</v>
      </c>
      <c r="G14" s="76">
        <f t="shared" ref="G14" si="1">F14*E14</f>
        <v>54093.84</v>
      </c>
      <c r="H14" s="148">
        <f t="shared" si="0"/>
        <v>649126.07999999996</v>
      </c>
    </row>
    <row r="15" spans="1:8" ht="15" x14ac:dyDescent="0.25">
      <c r="A15" s="307"/>
      <c r="B15" s="277" t="s">
        <v>221</v>
      </c>
      <c r="C15" s="278">
        <f>'Técnico de Enfermagem - Diurno'!D113</f>
        <v>12036.57</v>
      </c>
      <c r="D15" s="267">
        <v>2</v>
      </c>
      <c r="E15" s="75">
        <v>2</v>
      </c>
      <c r="F15" s="76">
        <f>C15*D15</f>
        <v>24073.14</v>
      </c>
      <c r="G15" s="76">
        <f>F15*E15</f>
        <v>48146.28</v>
      </c>
      <c r="H15" s="148">
        <f>G15*12</f>
        <v>577755.36</v>
      </c>
    </row>
    <row r="16" spans="1:8" ht="15.75" thickBot="1" x14ac:dyDescent="0.3">
      <c r="A16" s="308"/>
      <c r="B16" s="279" t="s">
        <v>220</v>
      </c>
      <c r="C16" s="280">
        <f>'Técnico de Enfermagem - Noturno'!D113</f>
        <v>13063.86</v>
      </c>
      <c r="D16" s="281">
        <v>2</v>
      </c>
      <c r="E16" s="84">
        <v>2</v>
      </c>
      <c r="F16" s="282">
        <f>C16*D16</f>
        <v>26127.72</v>
      </c>
      <c r="G16" s="282">
        <f>F16*E16</f>
        <v>52255.44</v>
      </c>
      <c r="H16" s="283">
        <f t="shared" ref="H16" si="2">G16*12</f>
        <v>627065.28</v>
      </c>
    </row>
    <row r="17" spans="1:8" ht="15.75" thickBot="1" x14ac:dyDescent="0.3">
      <c r="A17" s="312" t="s">
        <v>222</v>
      </c>
      <c r="B17" s="313"/>
      <c r="C17" s="313"/>
      <c r="D17" s="313"/>
      <c r="E17" s="313"/>
      <c r="F17" s="313"/>
      <c r="G17" s="313"/>
      <c r="H17" s="314"/>
    </row>
    <row r="18" spans="1:8" ht="15" x14ac:dyDescent="0.25">
      <c r="A18" s="306">
        <v>2</v>
      </c>
      <c r="B18" s="273" t="s">
        <v>275</v>
      </c>
      <c r="C18" s="284">
        <f>'Motorista - Diurno'!E112</f>
        <v>11963.85</v>
      </c>
      <c r="D18" s="275">
        <v>2</v>
      </c>
      <c r="E18" s="273">
        <v>1</v>
      </c>
      <c r="F18" s="274">
        <f>C18*D18</f>
        <v>23927.7</v>
      </c>
      <c r="G18" s="274">
        <f>F18*E18</f>
        <v>23927.7</v>
      </c>
      <c r="H18" s="276">
        <f>G18*12</f>
        <v>287132.40000000002</v>
      </c>
    </row>
    <row r="19" spans="1:8" ht="15" x14ac:dyDescent="0.25">
      <c r="A19" s="307"/>
      <c r="B19" s="75" t="s">
        <v>276</v>
      </c>
      <c r="C19" s="278">
        <f>'Motorista - Noturno'!E113</f>
        <v>13036.92</v>
      </c>
      <c r="D19" s="267">
        <v>2</v>
      </c>
      <c r="E19" s="75">
        <v>1</v>
      </c>
      <c r="F19" s="76">
        <f t="shared" ref="F19" si="3">C19*D19</f>
        <v>26073.84</v>
      </c>
      <c r="G19" s="76">
        <f>F19*E19</f>
        <v>26073.84</v>
      </c>
      <c r="H19" s="148">
        <f t="shared" ref="H19:H23" si="4">G19*12</f>
        <v>312886.08</v>
      </c>
    </row>
    <row r="20" spans="1:8" ht="15" x14ac:dyDescent="0.25">
      <c r="A20" s="307"/>
      <c r="B20" s="75" t="s">
        <v>217</v>
      </c>
      <c r="C20" s="76">
        <f>'Enfermeiro - Diurno'!D112</f>
        <v>13784.92</v>
      </c>
      <c r="D20" s="267">
        <v>2</v>
      </c>
      <c r="E20" s="75">
        <v>1</v>
      </c>
      <c r="F20" s="76">
        <f>C20*D20</f>
        <v>27569.84</v>
      </c>
      <c r="G20" s="76">
        <f>F20*E20</f>
        <v>27569.84</v>
      </c>
      <c r="H20" s="148">
        <f t="shared" si="4"/>
        <v>330838.08</v>
      </c>
    </row>
    <row r="21" spans="1:8" ht="15" x14ac:dyDescent="0.25">
      <c r="A21" s="307"/>
      <c r="B21" s="75" t="s">
        <v>223</v>
      </c>
      <c r="C21" s="76">
        <f>'Enfermeiro - Noturno'!D113</f>
        <v>15165.22</v>
      </c>
      <c r="D21" s="267">
        <v>2</v>
      </c>
      <c r="E21" s="75">
        <v>1</v>
      </c>
      <c r="F21" s="76">
        <f t="shared" ref="F21" si="5">C21*D21</f>
        <v>30330.44</v>
      </c>
      <c r="G21" s="76">
        <f t="shared" ref="G21" si="6">F21*E21</f>
        <v>30330.44</v>
      </c>
      <c r="H21" s="148">
        <f t="shared" si="4"/>
        <v>363965.28</v>
      </c>
    </row>
    <row r="22" spans="1:8" ht="15" x14ac:dyDescent="0.25">
      <c r="A22" s="307"/>
      <c r="B22" s="277" t="s">
        <v>218</v>
      </c>
      <c r="C22" s="76">
        <f>'Médico - Diurno '!D112</f>
        <v>46825.15</v>
      </c>
      <c r="D22" s="267">
        <v>2</v>
      </c>
      <c r="E22" s="75">
        <v>1</v>
      </c>
      <c r="F22" s="76">
        <f>C22*D22</f>
        <v>93650.3</v>
      </c>
      <c r="G22" s="76">
        <f>F22*E22</f>
        <v>93650.3</v>
      </c>
      <c r="H22" s="148">
        <f t="shared" si="4"/>
        <v>1123803.6000000001</v>
      </c>
    </row>
    <row r="23" spans="1:8" ht="15.75" thickBot="1" x14ac:dyDescent="0.3">
      <c r="A23" s="308"/>
      <c r="B23" s="279" t="s">
        <v>224</v>
      </c>
      <c r="C23" s="282">
        <f>'Médico - Noturno'!D112</f>
        <v>51879.63</v>
      </c>
      <c r="D23" s="281">
        <v>2</v>
      </c>
      <c r="E23" s="84">
        <v>1</v>
      </c>
      <c r="F23" s="282">
        <f t="shared" ref="F23" si="7">C23*D23</f>
        <v>103759.26</v>
      </c>
      <c r="G23" s="282">
        <f t="shared" ref="G23" si="8">F23*E23</f>
        <v>103759.26</v>
      </c>
      <c r="H23" s="283">
        <f t="shared" si="4"/>
        <v>1245111.1200000001</v>
      </c>
    </row>
    <row r="24" spans="1:8" ht="15.75" thickBot="1" x14ac:dyDescent="0.3">
      <c r="A24" s="312" t="s">
        <v>222</v>
      </c>
      <c r="B24" s="313"/>
      <c r="C24" s="313"/>
      <c r="D24" s="313"/>
      <c r="E24" s="313"/>
      <c r="F24" s="313"/>
      <c r="G24" s="313"/>
      <c r="H24" s="314"/>
    </row>
    <row r="25" spans="1:8" ht="15" x14ac:dyDescent="0.25">
      <c r="A25" s="309">
        <v>3</v>
      </c>
      <c r="B25" s="273" t="s">
        <v>275</v>
      </c>
      <c r="C25" s="284">
        <f>'Motorista - Diurno'!G112</f>
        <v>11963.85</v>
      </c>
      <c r="D25" s="275">
        <v>2</v>
      </c>
      <c r="E25" s="273">
        <v>1</v>
      </c>
      <c r="F25" s="274">
        <f>C25*D25</f>
        <v>23927.7</v>
      </c>
      <c r="G25" s="274">
        <f t="shared" ref="G25:G30" si="9">F25*E25</f>
        <v>23927.7</v>
      </c>
      <c r="H25" s="276">
        <f>G25*12</f>
        <v>287132.40000000002</v>
      </c>
    </row>
    <row r="26" spans="1:8" ht="15" x14ac:dyDescent="0.25">
      <c r="A26" s="310"/>
      <c r="B26" s="75" t="s">
        <v>276</v>
      </c>
      <c r="C26" s="278">
        <f>'Motorista - Noturno'!G113</f>
        <v>13036.92</v>
      </c>
      <c r="D26" s="267">
        <v>2</v>
      </c>
      <c r="E26" s="75">
        <v>1</v>
      </c>
      <c r="F26" s="76">
        <f t="shared" ref="F26" si="10">C26*D26</f>
        <v>26073.84</v>
      </c>
      <c r="G26" s="76">
        <f t="shared" si="9"/>
        <v>26073.84</v>
      </c>
      <c r="H26" s="148">
        <f t="shared" ref="H26" si="11">G26*12</f>
        <v>312886.08</v>
      </c>
    </row>
    <row r="27" spans="1:8" ht="15" x14ac:dyDescent="0.25">
      <c r="A27" s="310"/>
      <c r="B27" s="75" t="s">
        <v>217</v>
      </c>
      <c r="C27" s="278">
        <f>'Enfermeiro - Diurno'!E112</f>
        <v>13784.92</v>
      </c>
      <c r="D27" s="267">
        <v>2</v>
      </c>
      <c r="E27" s="75">
        <v>1</v>
      </c>
      <c r="F27" s="76">
        <f>C27*D27</f>
        <v>27569.84</v>
      </c>
      <c r="G27" s="76">
        <f t="shared" si="9"/>
        <v>27569.84</v>
      </c>
      <c r="H27" s="148">
        <f>G27*12</f>
        <v>330838.08</v>
      </c>
    </row>
    <row r="28" spans="1:8" ht="15" x14ac:dyDescent="0.25">
      <c r="A28" s="310"/>
      <c r="B28" s="75" t="s">
        <v>223</v>
      </c>
      <c r="C28" s="278">
        <f>'Enfermeiro - Noturno'!E113</f>
        <v>15165.22</v>
      </c>
      <c r="D28" s="267">
        <v>2</v>
      </c>
      <c r="E28" s="75">
        <v>1</v>
      </c>
      <c r="F28" s="76">
        <f t="shared" ref="F28" si="12">C28*D28</f>
        <v>30330.44</v>
      </c>
      <c r="G28" s="76">
        <f t="shared" si="9"/>
        <v>30330.44</v>
      </c>
      <c r="H28" s="148">
        <f t="shared" ref="H28" si="13">G28*12</f>
        <v>363965.28</v>
      </c>
    </row>
    <row r="29" spans="1:8" ht="15" x14ac:dyDescent="0.25">
      <c r="A29" s="310"/>
      <c r="B29" s="277" t="s">
        <v>218</v>
      </c>
      <c r="C29" s="278">
        <f>'Médico - Diurno '!E112</f>
        <v>46825.15</v>
      </c>
      <c r="D29" s="267">
        <v>2</v>
      </c>
      <c r="E29" s="75">
        <v>1</v>
      </c>
      <c r="F29" s="76">
        <f>C29*D29</f>
        <v>93650.3</v>
      </c>
      <c r="G29" s="76">
        <f t="shared" si="9"/>
        <v>93650.3</v>
      </c>
      <c r="H29" s="148">
        <f>G29*12</f>
        <v>1123803.6000000001</v>
      </c>
    </row>
    <row r="30" spans="1:8" ht="15.75" thickBot="1" x14ac:dyDescent="0.3">
      <c r="A30" s="311"/>
      <c r="B30" s="279" t="s">
        <v>224</v>
      </c>
      <c r="C30" s="280">
        <f>'Médico - Noturno'!E112</f>
        <v>51879.63</v>
      </c>
      <c r="D30" s="281">
        <v>2</v>
      </c>
      <c r="E30" s="84">
        <v>1</v>
      </c>
      <c r="F30" s="282">
        <f t="shared" ref="F30" si="14">C30*D30</f>
        <v>103759.26</v>
      </c>
      <c r="G30" s="282">
        <f t="shared" si="9"/>
        <v>103759.26</v>
      </c>
      <c r="H30" s="283">
        <f t="shared" ref="H30" si="15">G30*12</f>
        <v>1245111.1200000001</v>
      </c>
    </row>
    <row r="31" spans="1:8" ht="15.75" thickBot="1" x14ac:dyDescent="0.3">
      <c r="A31" s="312" t="s">
        <v>180</v>
      </c>
      <c r="B31" s="313"/>
      <c r="C31" s="313"/>
      <c r="D31" s="313"/>
      <c r="E31" s="313"/>
      <c r="F31" s="313"/>
      <c r="G31" s="313"/>
      <c r="H31" s="314"/>
    </row>
    <row r="32" spans="1:8" ht="15" x14ac:dyDescent="0.25">
      <c r="A32" s="309">
        <v>4</v>
      </c>
      <c r="B32" s="273" t="s">
        <v>275</v>
      </c>
      <c r="C32" s="284">
        <f>'Motorista - Diurno'!F112</f>
        <v>12450.41</v>
      </c>
      <c r="D32" s="275">
        <v>2</v>
      </c>
      <c r="E32" s="273">
        <v>2</v>
      </c>
      <c r="F32" s="274">
        <f>C32*D32</f>
        <v>24900.82</v>
      </c>
      <c r="G32" s="274">
        <f>F32*E32</f>
        <v>49801.64</v>
      </c>
      <c r="H32" s="276">
        <f>G32*12</f>
        <v>597619.68000000005</v>
      </c>
    </row>
    <row r="33" spans="1:8" ht="15" x14ac:dyDescent="0.25">
      <c r="A33" s="310"/>
      <c r="B33" s="75" t="s">
        <v>276</v>
      </c>
      <c r="C33" s="278">
        <f>'Motorista - Noturno'!F113</f>
        <v>13523.46</v>
      </c>
      <c r="D33" s="267">
        <v>2</v>
      </c>
      <c r="E33" s="75">
        <v>2</v>
      </c>
      <c r="F33" s="76">
        <f t="shared" ref="F33" si="16">C33*D33</f>
        <v>27046.92</v>
      </c>
      <c r="G33" s="76">
        <f>F33*E33</f>
        <v>54093.84</v>
      </c>
      <c r="H33" s="148">
        <f t="shared" ref="H33" si="17">G33*12</f>
        <v>649126.07999999996</v>
      </c>
    </row>
    <row r="34" spans="1:8" ht="15" x14ac:dyDescent="0.25">
      <c r="A34" s="310"/>
      <c r="B34" s="277" t="s">
        <v>221</v>
      </c>
      <c r="C34" s="278">
        <f>'Técnico de Enfermagem - Diurno'!E113</f>
        <v>12036.57</v>
      </c>
      <c r="D34" s="267">
        <v>2</v>
      </c>
      <c r="E34" s="75">
        <v>2</v>
      </c>
      <c r="F34" s="76">
        <f>C34*D34</f>
        <v>24073.14</v>
      </c>
      <c r="G34" s="76">
        <f>F34*E34</f>
        <v>48146.28</v>
      </c>
      <c r="H34" s="148">
        <f>G34*12</f>
        <v>577755.36</v>
      </c>
    </row>
    <row r="35" spans="1:8" ht="15.75" thickBot="1" x14ac:dyDescent="0.3">
      <c r="A35" s="311"/>
      <c r="B35" s="279" t="s">
        <v>220</v>
      </c>
      <c r="C35" s="280">
        <f>'Técnico de Enfermagem - Noturno'!E113</f>
        <v>13063.86</v>
      </c>
      <c r="D35" s="281">
        <v>2</v>
      </c>
      <c r="E35" s="84">
        <v>2</v>
      </c>
      <c r="F35" s="282">
        <f t="shared" ref="F35" si="18">C35*D35</f>
        <v>26127.72</v>
      </c>
      <c r="G35" s="282">
        <f>F35*E35</f>
        <v>52255.44</v>
      </c>
      <c r="H35" s="283">
        <f t="shared" ref="H35" si="19">G35*12</f>
        <v>627065.28</v>
      </c>
    </row>
    <row r="36" spans="1:8" ht="15.75" customHeight="1" thickBot="1" x14ac:dyDescent="0.3">
      <c r="A36" s="304" t="s">
        <v>240</v>
      </c>
      <c r="B36" s="305"/>
      <c r="C36" s="305"/>
      <c r="D36" s="305"/>
      <c r="E36" s="305"/>
      <c r="F36" s="305"/>
      <c r="G36" s="305"/>
      <c r="H36" s="59">
        <f>SUM(H13:H35)</f>
        <v>12230605.92</v>
      </c>
    </row>
  </sheetData>
  <mergeCells count="15">
    <mergeCell ref="A8:H8"/>
    <mergeCell ref="A1:H1"/>
    <mergeCell ref="A7:G7"/>
    <mergeCell ref="A36:G36"/>
    <mergeCell ref="A13:A16"/>
    <mergeCell ref="A25:A30"/>
    <mergeCell ref="A32:A35"/>
    <mergeCell ref="A17:H17"/>
    <mergeCell ref="A18:A23"/>
    <mergeCell ref="A31:H31"/>
    <mergeCell ref="A12:H12"/>
    <mergeCell ref="A24:H24"/>
    <mergeCell ref="A9:H9"/>
    <mergeCell ref="A10:B10"/>
    <mergeCell ref="A11:B11"/>
  </mergeCells>
  <pageMargins left="0.511811024" right="0.511811024" top="0.78740157499999996" bottom="0.78740157499999996" header="0.31496062000000002" footer="0.31496062000000002"/>
  <pageSetup paperSize="9" scale="4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24"/>
  <sheetViews>
    <sheetView view="pageBreakPreview" topLeftCell="A94" zoomScaleNormal="115" zoomScaleSheetLayoutView="100" workbookViewId="0">
      <selection activeCell="E112" sqref="E112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7" width="15.7109375" style="32" customWidth="1"/>
    <col min="8" max="16384" width="9.140625" style="28"/>
  </cols>
  <sheetData>
    <row r="1" spans="1:7" x14ac:dyDescent="0.25">
      <c r="A1" s="331"/>
      <c r="B1" s="332"/>
      <c r="C1" s="332"/>
      <c r="D1" s="332"/>
      <c r="E1" s="332"/>
      <c r="F1" s="332"/>
      <c r="G1" s="333"/>
    </row>
    <row r="2" spans="1:7" s="38" customFormat="1" ht="16.5" customHeight="1" x14ac:dyDescent="0.25">
      <c r="A2" s="367" t="s">
        <v>127</v>
      </c>
      <c r="B2" s="368"/>
      <c r="C2" s="368"/>
      <c r="D2" s="368"/>
      <c r="E2" s="368"/>
      <c r="F2" s="368"/>
      <c r="G2" s="369"/>
    </row>
    <row r="3" spans="1:7" s="38" customFormat="1" x14ac:dyDescent="0.25">
      <c r="A3" s="325" t="s">
        <v>126</v>
      </c>
      <c r="B3" s="326"/>
      <c r="C3" s="326"/>
      <c r="D3" s="326"/>
      <c r="E3" s="326"/>
      <c r="F3" s="326"/>
      <c r="G3" s="327"/>
    </row>
    <row r="4" spans="1:7" s="38" customFormat="1" ht="15" customHeight="1" x14ac:dyDescent="0.25">
      <c r="A4" s="74" t="s">
        <v>0</v>
      </c>
      <c r="B4" s="102" t="s">
        <v>1</v>
      </c>
      <c r="C4" s="334">
        <v>2025</v>
      </c>
      <c r="D4" s="334"/>
      <c r="E4" s="334"/>
      <c r="F4" s="334"/>
      <c r="G4" s="335"/>
    </row>
    <row r="5" spans="1:7" s="38" customFormat="1" ht="45" customHeight="1" x14ac:dyDescent="0.25">
      <c r="A5" s="74" t="s">
        <v>2</v>
      </c>
      <c r="B5" s="102" t="s">
        <v>135</v>
      </c>
      <c r="C5" s="336" t="s">
        <v>242</v>
      </c>
      <c r="D5" s="336"/>
      <c r="E5" s="336"/>
      <c r="F5" s="336"/>
      <c r="G5" s="337"/>
    </row>
    <row r="6" spans="1:7" s="38" customFormat="1" ht="15.75" customHeight="1" thickBot="1" x14ac:dyDescent="0.3">
      <c r="A6" s="268" t="s">
        <v>3</v>
      </c>
      <c r="B6" s="269" t="s">
        <v>4</v>
      </c>
      <c r="C6" s="338" t="s">
        <v>287</v>
      </c>
      <c r="D6" s="338"/>
      <c r="E6" s="338"/>
      <c r="F6" s="338"/>
      <c r="G6" s="339"/>
    </row>
    <row r="7" spans="1:7" s="38" customFormat="1" x14ac:dyDescent="0.25">
      <c r="A7" s="270" t="s">
        <v>5</v>
      </c>
      <c r="B7" s="271" t="s">
        <v>300</v>
      </c>
      <c r="C7" s="340">
        <v>12</v>
      </c>
      <c r="D7" s="340"/>
      <c r="E7" s="340"/>
      <c r="F7" s="340"/>
      <c r="G7" s="341"/>
    </row>
    <row r="8" spans="1:7" s="38" customFormat="1" x14ac:dyDescent="0.25">
      <c r="A8" s="325" t="s">
        <v>6</v>
      </c>
      <c r="B8" s="326"/>
      <c r="C8" s="326"/>
      <c r="D8" s="326"/>
      <c r="E8" s="326"/>
      <c r="F8" s="326"/>
      <c r="G8" s="327"/>
    </row>
    <row r="9" spans="1:7" s="38" customFormat="1" x14ac:dyDescent="0.25">
      <c r="A9" s="325" t="s">
        <v>7</v>
      </c>
      <c r="B9" s="326"/>
      <c r="C9" s="326"/>
      <c r="D9" s="326"/>
      <c r="E9" s="326"/>
      <c r="F9" s="326"/>
      <c r="G9" s="327"/>
    </row>
    <row r="10" spans="1:7" s="38" customFormat="1" ht="15.75" customHeight="1" x14ac:dyDescent="0.25">
      <c r="A10" s="325" t="s">
        <v>8</v>
      </c>
      <c r="B10" s="326"/>
      <c r="C10" s="326"/>
      <c r="D10" s="326"/>
      <c r="E10" s="326"/>
      <c r="F10" s="326"/>
      <c r="G10" s="327"/>
    </row>
    <row r="11" spans="1:7" s="38" customFormat="1" ht="30" customHeight="1" x14ac:dyDescent="0.25">
      <c r="A11" s="328" t="s">
        <v>9</v>
      </c>
      <c r="B11" s="329"/>
      <c r="C11" s="329"/>
      <c r="D11" s="329" t="s">
        <v>10</v>
      </c>
      <c r="E11" s="329"/>
      <c r="F11" s="329"/>
      <c r="G11" s="330"/>
    </row>
    <row r="12" spans="1:7" s="38" customFormat="1" ht="45" customHeight="1" x14ac:dyDescent="0.25">
      <c r="A12" s="74">
        <v>1</v>
      </c>
      <c r="B12" s="379" t="s">
        <v>128</v>
      </c>
      <c r="C12" s="379"/>
      <c r="D12" s="381" t="s">
        <v>243</v>
      </c>
      <c r="E12" s="381"/>
      <c r="F12" s="381"/>
      <c r="G12" s="382"/>
    </row>
    <row r="13" spans="1:7" s="38" customFormat="1" ht="30" customHeight="1" x14ac:dyDescent="0.25">
      <c r="A13" s="74">
        <v>2</v>
      </c>
      <c r="B13" s="379" t="s">
        <v>11</v>
      </c>
      <c r="C13" s="379"/>
      <c r="D13" s="385">
        <v>3500.06</v>
      </c>
      <c r="E13" s="386"/>
      <c r="F13" s="386"/>
      <c r="G13" s="387"/>
    </row>
    <row r="14" spans="1:7" s="38" customFormat="1" ht="15.75" customHeight="1" x14ac:dyDescent="0.25">
      <c r="A14" s="74">
        <v>3</v>
      </c>
      <c r="B14" s="379" t="s">
        <v>12</v>
      </c>
      <c r="C14" s="379"/>
      <c r="D14" s="381" t="s">
        <v>239</v>
      </c>
      <c r="E14" s="381"/>
      <c r="F14" s="381"/>
      <c r="G14" s="382"/>
    </row>
    <row r="15" spans="1:7" s="38" customFormat="1" x14ac:dyDescent="0.25">
      <c r="A15" s="74">
        <v>4</v>
      </c>
      <c r="B15" s="380" t="s">
        <v>13</v>
      </c>
      <c r="C15" s="380"/>
      <c r="D15" s="383">
        <v>2025</v>
      </c>
      <c r="E15" s="383"/>
      <c r="F15" s="383"/>
      <c r="G15" s="384"/>
    </row>
    <row r="16" spans="1:7" s="39" customFormat="1" ht="30" x14ac:dyDescent="0.25">
      <c r="A16" s="365" t="s">
        <v>14</v>
      </c>
      <c r="B16" s="366"/>
      <c r="C16" s="366"/>
      <c r="D16" s="272" t="s">
        <v>277</v>
      </c>
      <c r="E16" s="272" t="s">
        <v>280</v>
      </c>
      <c r="F16" s="262" t="s">
        <v>278</v>
      </c>
      <c r="G16" s="263" t="s">
        <v>279</v>
      </c>
    </row>
    <row r="17" spans="1:7" s="39" customFormat="1" x14ac:dyDescent="0.25">
      <c r="A17" s="259">
        <v>1</v>
      </c>
      <c r="B17" s="354" t="s">
        <v>15</v>
      </c>
      <c r="C17" s="354"/>
      <c r="D17" s="103" t="s">
        <v>10</v>
      </c>
      <c r="E17" s="103" t="s">
        <v>10</v>
      </c>
      <c r="F17" s="103" t="s">
        <v>10</v>
      </c>
      <c r="G17" s="104" t="s">
        <v>10</v>
      </c>
    </row>
    <row r="18" spans="1:7" s="38" customFormat="1" ht="15.75" customHeight="1" x14ac:dyDescent="0.25">
      <c r="A18" s="105" t="s">
        <v>0</v>
      </c>
      <c r="B18" s="106" t="s">
        <v>16</v>
      </c>
      <c r="C18" s="248"/>
      <c r="D18" s="76">
        <f>D13</f>
        <v>3500.06</v>
      </c>
      <c r="E18" s="76">
        <f>D13</f>
        <v>3500.06</v>
      </c>
      <c r="F18" s="76">
        <f>D13</f>
        <v>3500.06</v>
      </c>
      <c r="G18" s="148">
        <f>D13</f>
        <v>3500.06</v>
      </c>
    </row>
    <row r="19" spans="1:7" s="38" customFormat="1" ht="15.75" customHeight="1" x14ac:dyDescent="0.25">
      <c r="A19" s="105" t="s">
        <v>2</v>
      </c>
      <c r="B19" s="106" t="s">
        <v>17</v>
      </c>
      <c r="C19" s="114"/>
      <c r="D19" s="172"/>
      <c r="E19" s="172"/>
      <c r="F19" s="172"/>
      <c r="G19" s="173"/>
    </row>
    <row r="20" spans="1:7" s="38" customFormat="1" ht="15.75" customHeight="1" x14ac:dyDescent="0.25">
      <c r="A20" s="105" t="s">
        <v>3</v>
      </c>
      <c r="B20" s="106" t="s">
        <v>18</v>
      </c>
      <c r="C20" s="111">
        <v>1518</v>
      </c>
      <c r="D20" s="147">
        <f>40%*C20</f>
        <v>607.20000000000005</v>
      </c>
      <c r="E20" s="147">
        <f>40%*C20</f>
        <v>607.20000000000005</v>
      </c>
      <c r="F20" s="147">
        <f>40%*C20</f>
        <v>607.20000000000005</v>
      </c>
      <c r="G20" s="174">
        <f>40%*C20</f>
        <v>607.20000000000005</v>
      </c>
    </row>
    <row r="21" spans="1:7" s="38" customFormat="1" ht="15.75" customHeight="1" x14ac:dyDescent="0.25">
      <c r="A21" s="105" t="s">
        <v>5</v>
      </c>
      <c r="B21" s="106" t="s">
        <v>19</v>
      </c>
      <c r="C21" s="114"/>
      <c r="D21" s="172"/>
      <c r="E21" s="172"/>
      <c r="F21" s="172"/>
      <c r="G21" s="173"/>
    </row>
    <row r="22" spans="1:7" s="38" customFormat="1" ht="15.75" customHeight="1" x14ac:dyDescent="0.25">
      <c r="A22" s="105" t="s">
        <v>20</v>
      </c>
      <c r="B22" s="106" t="s">
        <v>195</v>
      </c>
      <c r="C22" s="114"/>
      <c r="D22" s="172"/>
      <c r="E22" s="172"/>
      <c r="F22" s="172"/>
      <c r="G22" s="173"/>
    </row>
    <row r="23" spans="1:7" s="38" customFormat="1" x14ac:dyDescent="0.25">
      <c r="A23" s="105" t="s">
        <v>21</v>
      </c>
      <c r="B23" s="106" t="s">
        <v>133</v>
      </c>
      <c r="C23" s="115"/>
      <c r="D23" s="175"/>
      <c r="E23" s="175"/>
      <c r="F23" s="175"/>
      <c r="G23" s="176"/>
    </row>
    <row r="24" spans="1:7" s="38" customFormat="1" ht="15.75" customHeight="1" x14ac:dyDescent="0.25">
      <c r="A24" s="105" t="s">
        <v>22</v>
      </c>
      <c r="B24" s="116" t="s">
        <v>134</v>
      </c>
      <c r="C24" s="115"/>
      <c r="D24" s="175"/>
      <c r="E24" s="175"/>
      <c r="F24" s="175"/>
      <c r="G24" s="176"/>
    </row>
    <row r="25" spans="1:7" s="39" customFormat="1" ht="15.75" customHeight="1" x14ac:dyDescent="0.25">
      <c r="A25" s="344" t="s">
        <v>145</v>
      </c>
      <c r="B25" s="345"/>
      <c r="C25" s="345"/>
      <c r="D25" s="177">
        <f>SUM(D18:D24)</f>
        <v>4107.26</v>
      </c>
      <c r="E25" s="177">
        <f>SUM(E18:E24)</f>
        <v>4107.26</v>
      </c>
      <c r="F25" s="177">
        <f>SUM(F18:F24)</f>
        <v>4107.26</v>
      </c>
      <c r="G25" s="178">
        <f>SUM(G18:G24)</f>
        <v>4107.26</v>
      </c>
    </row>
    <row r="26" spans="1:7" s="39" customFormat="1" x14ac:dyDescent="0.25">
      <c r="A26" s="346" t="s">
        <v>48</v>
      </c>
      <c r="B26" s="347"/>
      <c r="C26" s="347"/>
      <c r="D26" s="136"/>
      <c r="E26" s="136"/>
      <c r="F26" s="136"/>
      <c r="G26" s="137"/>
    </row>
    <row r="27" spans="1:7" s="38" customFormat="1" x14ac:dyDescent="0.25">
      <c r="A27" s="257">
        <v>2</v>
      </c>
      <c r="B27" s="356" t="s">
        <v>196</v>
      </c>
      <c r="C27" s="372"/>
      <c r="D27" s="121" t="s">
        <v>10</v>
      </c>
      <c r="E27" s="121" t="s">
        <v>10</v>
      </c>
      <c r="F27" s="121" t="s">
        <v>10</v>
      </c>
      <c r="G27" s="122" t="s">
        <v>10</v>
      </c>
    </row>
    <row r="28" spans="1:7" s="38" customFormat="1" x14ac:dyDescent="0.25">
      <c r="A28" s="123" t="s">
        <v>0</v>
      </c>
      <c r="B28" s="124" t="s">
        <v>28</v>
      </c>
      <c r="C28" s="125">
        <f>1/12</f>
        <v>8.3299999999999999E-2</v>
      </c>
      <c r="D28" s="149">
        <f>(D25)*C28</f>
        <v>342.13</v>
      </c>
      <c r="E28" s="149">
        <f>(E25)*C28</f>
        <v>342.13</v>
      </c>
      <c r="F28" s="149">
        <f>(F25)*C28</f>
        <v>342.13</v>
      </c>
      <c r="G28" s="179">
        <f>(G25)*C28</f>
        <v>342.13</v>
      </c>
    </row>
    <row r="29" spans="1:7" s="38" customFormat="1" x14ac:dyDescent="0.25">
      <c r="A29" s="123" t="s">
        <v>2</v>
      </c>
      <c r="B29" s="124" t="s">
        <v>141</v>
      </c>
      <c r="C29" s="125">
        <v>0.1111</v>
      </c>
      <c r="D29" s="149">
        <f>D25*C29</f>
        <v>456.32</v>
      </c>
      <c r="E29" s="149">
        <f>E25*C29</f>
        <v>456.32</v>
      </c>
      <c r="F29" s="149">
        <f>F25*C29</f>
        <v>456.32</v>
      </c>
      <c r="G29" s="179">
        <f>G25*C29</f>
        <v>456.32</v>
      </c>
    </row>
    <row r="30" spans="1:7" x14ac:dyDescent="0.25">
      <c r="A30" s="342" t="s">
        <v>27</v>
      </c>
      <c r="B30" s="343"/>
      <c r="C30" s="128">
        <f>SUM(C28:C29)</f>
        <v>0.19439999999999999</v>
      </c>
      <c r="D30" s="180">
        <f>SUM(D28:D29)</f>
        <v>798.45</v>
      </c>
      <c r="E30" s="180">
        <f>SUM(E28:E29)</f>
        <v>798.45</v>
      </c>
      <c r="F30" s="180">
        <f>SUM(F28:F29)</f>
        <v>798.45</v>
      </c>
      <c r="G30" s="181">
        <f>SUM(G28:G29)</f>
        <v>798.45</v>
      </c>
    </row>
    <row r="31" spans="1:7" ht="32.25" customHeight="1" x14ac:dyDescent="0.25">
      <c r="A31" s="375" t="s">
        <v>197</v>
      </c>
      <c r="B31" s="376"/>
      <c r="C31" s="376"/>
      <c r="D31" s="376"/>
      <c r="E31" s="376"/>
      <c r="F31" s="376"/>
      <c r="G31" s="377"/>
    </row>
    <row r="32" spans="1:7" x14ac:dyDescent="0.25">
      <c r="A32" s="251" t="s">
        <v>200</v>
      </c>
      <c r="B32" s="373" t="s">
        <v>25</v>
      </c>
      <c r="C32" s="374"/>
      <c r="D32" s="254"/>
      <c r="E32" s="254"/>
      <c r="F32" s="254"/>
      <c r="G32" s="182"/>
    </row>
    <row r="33" spans="1:7" x14ac:dyDescent="0.25">
      <c r="A33" s="123" t="s">
        <v>0</v>
      </c>
      <c r="B33" s="131" t="s">
        <v>301</v>
      </c>
      <c r="C33" s="125">
        <v>0.2</v>
      </c>
      <c r="D33" s="149">
        <f t="shared" ref="D33:D40" si="0">($D$25+D$30)*C33</f>
        <v>981.14</v>
      </c>
      <c r="E33" s="149">
        <f t="shared" ref="E33:E40" si="1">($E$25+E$30)*C33</f>
        <v>981.14</v>
      </c>
      <c r="F33" s="149">
        <f t="shared" ref="F33:F40" si="2">($F$25+F$30)*C33</f>
        <v>981.14</v>
      </c>
      <c r="G33" s="179">
        <f t="shared" ref="G33:G40" si="3">($G$25+G$30)*C33</f>
        <v>981.14</v>
      </c>
    </row>
    <row r="34" spans="1:7" x14ac:dyDescent="0.25">
      <c r="A34" s="123" t="s">
        <v>2</v>
      </c>
      <c r="B34" s="131" t="s">
        <v>302</v>
      </c>
      <c r="C34" s="132">
        <v>2.5000000000000001E-2</v>
      </c>
      <c r="D34" s="149">
        <f t="shared" si="0"/>
        <v>122.64</v>
      </c>
      <c r="E34" s="149">
        <f t="shared" si="1"/>
        <v>122.64</v>
      </c>
      <c r="F34" s="149">
        <f t="shared" si="2"/>
        <v>122.64</v>
      </c>
      <c r="G34" s="179">
        <f t="shared" si="3"/>
        <v>122.64</v>
      </c>
    </row>
    <row r="35" spans="1:7" ht="45" x14ac:dyDescent="0.25">
      <c r="A35" s="123" t="s">
        <v>3</v>
      </c>
      <c r="B35" s="250" t="s">
        <v>303</v>
      </c>
      <c r="C35" s="132">
        <v>0.03</v>
      </c>
      <c r="D35" s="149">
        <f t="shared" si="0"/>
        <v>147.16999999999999</v>
      </c>
      <c r="E35" s="149">
        <f t="shared" si="1"/>
        <v>147.16999999999999</v>
      </c>
      <c r="F35" s="149">
        <f t="shared" si="2"/>
        <v>147.16999999999999</v>
      </c>
      <c r="G35" s="179">
        <f t="shared" si="3"/>
        <v>147.16999999999999</v>
      </c>
    </row>
    <row r="36" spans="1:7" x14ac:dyDescent="0.25">
      <c r="A36" s="123" t="s">
        <v>5</v>
      </c>
      <c r="B36" s="131" t="s">
        <v>304</v>
      </c>
      <c r="C36" s="132">
        <v>1.4999999999999999E-2</v>
      </c>
      <c r="D36" s="149">
        <f t="shared" si="0"/>
        <v>73.59</v>
      </c>
      <c r="E36" s="149">
        <f t="shared" si="1"/>
        <v>73.59</v>
      </c>
      <c r="F36" s="149">
        <f t="shared" si="2"/>
        <v>73.59</v>
      </c>
      <c r="G36" s="179">
        <f t="shared" si="3"/>
        <v>73.59</v>
      </c>
    </row>
    <row r="37" spans="1:7" x14ac:dyDescent="0.25">
      <c r="A37" s="123" t="s">
        <v>20</v>
      </c>
      <c r="B37" s="131" t="s">
        <v>305</v>
      </c>
      <c r="C37" s="132">
        <v>0.01</v>
      </c>
      <c r="D37" s="149">
        <f t="shared" si="0"/>
        <v>49.06</v>
      </c>
      <c r="E37" s="149">
        <f t="shared" si="1"/>
        <v>49.06</v>
      </c>
      <c r="F37" s="149">
        <f t="shared" si="2"/>
        <v>49.06</v>
      </c>
      <c r="G37" s="179">
        <f t="shared" si="3"/>
        <v>49.06</v>
      </c>
    </row>
    <row r="38" spans="1:7" x14ac:dyDescent="0.25">
      <c r="A38" s="123" t="s">
        <v>21</v>
      </c>
      <c r="B38" s="133" t="s">
        <v>199</v>
      </c>
      <c r="C38" s="132">
        <v>6.0000000000000001E-3</v>
      </c>
      <c r="D38" s="149">
        <f t="shared" si="0"/>
        <v>29.43</v>
      </c>
      <c r="E38" s="149">
        <f t="shared" si="1"/>
        <v>29.43</v>
      </c>
      <c r="F38" s="149">
        <f t="shared" si="2"/>
        <v>29.43</v>
      </c>
      <c r="G38" s="179">
        <f t="shared" si="3"/>
        <v>29.43</v>
      </c>
    </row>
    <row r="39" spans="1:7" ht="30.75" customHeight="1" x14ac:dyDescent="0.25">
      <c r="A39" s="123" t="s">
        <v>22</v>
      </c>
      <c r="B39" s="250" t="s">
        <v>306</v>
      </c>
      <c r="C39" s="132">
        <v>2E-3</v>
      </c>
      <c r="D39" s="149">
        <f t="shared" si="0"/>
        <v>9.81</v>
      </c>
      <c r="E39" s="149">
        <f t="shared" si="1"/>
        <v>9.81</v>
      </c>
      <c r="F39" s="149">
        <f t="shared" si="2"/>
        <v>9.81</v>
      </c>
      <c r="G39" s="179">
        <f t="shared" si="3"/>
        <v>9.81</v>
      </c>
    </row>
    <row r="40" spans="1:7" x14ac:dyDescent="0.25">
      <c r="A40" s="123" t="s">
        <v>26</v>
      </c>
      <c r="B40" s="134" t="s">
        <v>198</v>
      </c>
      <c r="C40" s="132">
        <v>0.08</v>
      </c>
      <c r="D40" s="149">
        <f t="shared" si="0"/>
        <v>392.46</v>
      </c>
      <c r="E40" s="149">
        <f t="shared" si="1"/>
        <v>392.46</v>
      </c>
      <c r="F40" s="149">
        <f t="shared" si="2"/>
        <v>392.46</v>
      </c>
      <c r="G40" s="179">
        <f t="shared" si="3"/>
        <v>392.46</v>
      </c>
    </row>
    <row r="41" spans="1:7" s="30" customFormat="1" x14ac:dyDescent="0.25">
      <c r="A41" s="342" t="s">
        <v>27</v>
      </c>
      <c r="B41" s="343"/>
      <c r="C41" s="135">
        <f>SUM(C33:C40)</f>
        <v>0.36799999999999999</v>
      </c>
      <c r="D41" s="183">
        <f>SUM(D33:D40)</f>
        <v>1805.3</v>
      </c>
      <c r="E41" s="183">
        <f>SUM(E33:E40)</f>
        <v>1805.3</v>
      </c>
      <c r="F41" s="183">
        <f>SUM(F33:F40)</f>
        <v>1805.3</v>
      </c>
      <c r="G41" s="184">
        <f>SUM(G33:G40)</f>
        <v>1805.3</v>
      </c>
    </row>
    <row r="42" spans="1:7" s="30" customFormat="1" x14ac:dyDescent="0.25">
      <c r="A42" s="138" t="s">
        <v>201</v>
      </c>
      <c r="B42" s="352" t="s">
        <v>202</v>
      </c>
      <c r="C42" s="353"/>
      <c r="D42" s="258"/>
      <c r="E42" s="139"/>
      <c r="F42" s="258"/>
      <c r="G42" s="185"/>
    </row>
    <row r="43" spans="1:7" s="30" customFormat="1" x14ac:dyDescent="0.25">
      <c r="A43" s="141" t="s">
        <v>0</v>
      </c>
      <c r="B43" s="142" t="s">
        <v>137</v>
      </c>
      <c r="C43" s="143"/>
      <c r="D43" s="144">
        <v>139.72</v>
      </c>
      <c r="E43" s="144">
        <v>139.72</v>
      </c>
      <c r="F43" s="144">
        <v>139.72</v>
      </c>
      <c r="G43" s="145">
        <v>139.72</v>
      </c>
    </row>
    <row r="44" spans="1:7" s="30" customFormat="1" x14ac:dyDescent="0.25">
      <c r="A44" s="146" t="s">
        <v>2</v>
      </c>
      <c r="B44" s="116" t="s">
        <v>203</v>
      </c>
      <c r="C44" s="147">
        <v>626.94000000000005</v>
      </c>
      <c r="D44" s="76">
        <f>C44-(C44*0.99%)</f>
        <v>620.73</v>
      </c>
      <c r="E44" s="76">
        <f>C44-(C44*0.99%)</f>
        <v>620.73</v>
      </c>
      <c r="F44" s="76">
        <f>C44-(C44*0.99%)</f>
        <v>620.73</v>
      </c>
      <c r="G44" s="148">
        <f>C44-(C44*0.99%)</f>
        <v>620.73</v>
      </c>
    </row>
    <row r="45" spans="1:7" s="30" customFormat="1" x14ac:dyDescent="0.25">
      <c r="A45" s="123" t="s">
        <v>5</v>
      </c>
      <c r="B45" s="124" t="s">
        <v>129</v>
      </c>
      <c r="C45" s="186"/>
      <c r="D45" s="150">
        <v>0</v>
      </c>
      <c r="E45" s="150">
        <v>0</v>
      </c>
      <c r="F45" s="150">
        <v>0</v>
      </c>
      <c r="G45" s="151">
        <v>0</v>
      </c>
    </row>
    <row r="46" spans="1:7" s="30" customFormat="1" x14ac:dyDescent="0.25">
      <c r="A46" s="123" t="s">
        <v>20</v>
      </c>
      <c r="B46" s="124" t="s">
        <v>130</v>
      </c>
      <c r="C46" s="125">
        <v>0.5</v>
      </c>
      <c r="D46" s="150">
        <f>D18*C46*0.0199*2/12</f>
        <v>5.8</v>
      </c>
      <c r="E46" s="150">
        <f>E18*C46*0.0199*2/12</f>
        <v>5.8</v>
      </c>
      <c r="F46" s="150">
        <f>F18*C46*0.0199*2/12</f>
        <v>5.8</v>
      </c>
      <c r="G46" s="151">
        <f>G18*C46*0.0199*2/12</f>
        <v>5.8</v>
      </c>
    </row>
    <row r="47" spans="1:7" s="30" customFormat="1" x14ac:dyDescent="0.25">
      <c r="A47" s="123" t="s">
        <v>21</v>
      </c>
      <c r="B47" s="124" t="s">
        <v>131</v>
      </c>
      <c r="C47" s="149"/>
      <c r="D47" s="285">
        <v>50.76</v>
      </c>
      <c r="E47" s="285">
        <v>50.76</v>
      </c>
      <c r="F47" s="285">
        <v>50.76</v>
      </c>
      <c r="G47" s="286">
        <v>50.76</v>
      </c>
    </row>
    <row r="48" spans="1:7" s="30" customFormat="1" ht="15.75" customHeight="1" x14ac:dyDescent="0.25">
      <c r="A48" s="342" t="s">
        <v>23</v>
      </c>
      <c r="B48" s="343"/>
      <c r="C48" s="343"/>
      <c r="D48" s="187">
        <f>SUM(D43:D47)</f>
        <v>817.01</v>
      </c>
      <c r="E48" s="187">
        <f>SUM(E43:E47)</f>
        <v>817.01</v>
      </c>
      <c r="F48" s="187">
        <f>SUM(F43:F47)</f>
        <v>817.01</v>
      </c>
      <c r="G48" s="188">
        <f>SUM(G43:G47)</f>
        <v>817.01</v>
      </c>
    </row>
    <row r="49" spans="1:7" s="30" customFormat="1" ht="15.75" customHeight="1" x14ac:dyDescent="0.25">
      <c r="A49" s="346" t="s">
        <v>144</v>
      </c>
      <c r="B49" s="347"/>
      <c r="C49" s="347"/>
      <c r="D49" s="136"/>
      <c r="E49" s="136"/>
      <c r="F49" s="136"/>
      <c r="G49" s="137"/>
    </row>
    <row r="50" spans="1:7" s="30" customFormat="1" ht="15.75" customHeight="1" x14ac:dyDescent="0.25">
      <c r="A50" s="259" t="s">
        <v>136</v>
      </c>
      <c r="B50" s="152" t="s">
        <v>138</v>
      </c>
      <c r="C50" s="260"/>
      <c r="D50" s="103">
        <f>D30</f>
        <v>798.45</v>
      </c>
      <c r="E50" s="103">
        <f>E30</f>
        <v>798.45</v>
      </c>
      <c r="F50" s="103">
        <f>F30</f>
        <v>798.45</v>
      </c>
      <c r="G50" s="104">
        <f>G30</f>
        <v>798.45</v>
      </c>
    </row>
    <row r="51" spans="1:7" s="30" customFormat="1" ht="15.75" customHeight="1" x14ac:dyDescent="0.25">
      <c r="A51" s="259" t="s">
        <v>200</v>
      </c>
      <c r="B51" s="152" t="s">
        <v>139</v>
      </c>
      <c r="C51" s="260"/>
      <c r="D51" s="103">
        <f>D41</f>
        <v>1805.3</v>
      </c>
      <c r="E51" s="103">
        <f>E41</f>
        <v>1805.3</v>
      </c>
      <c r="F51" s="103">
        <f>F41</f>
        <v>1805.3</v>
      </c>
      <c r="G51" s="104">
        <f>G41</f>
        <v>1805.3</v>
      </c>
    </row>
    <row r="52" spans="1:7" s="30" customFormat="1" ht="15.75" customHeight="1" x14ac:dyDescent="0.25">
      <c r="A52" s="259" t="s">
        <v>201</v>
      </c>
      <c r="B52" s="152" t="s">
        <v>140</v>
      </c>
      <c r="C52" s="260"/>
      <c r="D52" s="103">
        <f>D48</f>
        <v>817.01</v>
      </c>
      <c r="E52" s="103">
        <f>E48</f>
        <v>817.01</v>
      </c>
      <c r="F52" s="103">
        <f>F48</f>
        <v>817.01</v>
      </c>
      <c r="G52" s="104">
        <f>G48</f>
        <v>817.01</v>
      </c>
    </row>
    <row r="53" spans="1:7" s="30" customFormat="1" ht="15.75" customHeight="1" x14ac:dyDescent="0.25">
      <c r="A53" s="344" t="s">
        <v>146</v>
      </c>
      <c r="B53" s="345"/>
      <c r="C53" s="345"/>
      <c r="D53" s="177">
        <f>SUM(D50:D52)</f>
        <v>3420.76</v>
      </c>
      <c r="E53" s="177">
        <f>SUM(E50:E52)</f>
        <v>3420.76</v>
      </c>
      <c r="F53" s="177">
        <f>SUM(F50:F52)</f>
        <v>3420.76</v>
      </c>
      <c r="G53" s="178">
        <f>SUM(G50:G52)</f>
        <v>3420.76</v>
      </c>
    </row>
    <row r="54" spans="1:7" s="30" customFormat="1" ht="15.75" customHeight="1" x14ac:dyDescent="0.25">
      <c r="A54" s="346" t="s">
        <v>154</v>
      </c>
      <c r="B54" s="347"/>
      <c r="C54" s="347"/>
      <c r="D54" s="136"/>
      <c r="E54" s="136"/>
      <c r="F54" s="136"/>
      <c r="G54" s="137"/>
    </row>
    <row r="55" spans="1:7" s="30" customFormat="1" ht="15.75" customHeight="1" x14ac:dyDescent="0.25">
      <c r="A55" s="257" t="s">
        <v>191</v>
      </c>
      <c r="B55" s="356" t="s">
        <v>32</v>
      </c>
      <c r="C55" s="357"/>
      <c r="D55" s="121" t="s">
        <v>10</v>
      </c>
      <c r="E55" s="121" t="s">
        <v>10</v>
      </c>
      <c r="F55" s="121" t="s">
        <v>10</v>
      </c>
      <c r="G55" s="122" t="s">
        <v>10</v>
      </c>
    </row>
    <row r="56" spans="1:7" s="30" customFormat="1" ht="15.75" customHeight="1" x14ac:dyDescent="0.25">
      <c r="A56" s="123" t="s">
        <v>0</v>
      </c>
      <c r="B56" s="124" t="s">
        <v>33</v>
      </c>
      <c r="C56" s="125">
        <v>4.5999999999999999E-3</v>
      </c>
      <c r="D56" s="149">
        <f>D$25*C56</f>
        <v>18.89</v>
      </c>
      <c r="E56" s="149">
        <f>E$25*C56</f>
        <v>18.89</v>
      </c>
      <c r="F56" s="149">
        <f>F$25*C56</f>
        <v>18.89</v>
      </c>
      <c r="G56" s="179">
        <f>G$25*C56</f>
        <v>18.89</v>
      </c>
    </row>
    <row r="57" spans="1:7" s="30" customFormat="1" ht="15.75" customHeight="1" x14ac:dyDescent="0.25">
      <c r="A57" s="123" t="s">
        <v>2</v>
      </c>
      <c r="B57" s="124" t="s">
        <v>34</v>
      </c>
      <c r="C57" s="125">
        <v>4.0000000000000002E-4</v>
      </c>
      <c r="D57" s="149">
        <f>D$25*C57</f>
        <v>1.64</v>
      </c>
      <c r="E57" s="149">
        <f>E$25*C57</f>
        <v>1.64</v>
      </c>
      <c r="F57" s="149">
        <f>F$25*C57</f>
        <v>1.64</v>
      </c>
      <c r="G57" s="179">
        <f>G$25*C57</f>
        <v>1.64</v>
      </c>
    </row>
    <row r="58" spans="1:7" s="30" customFormat="1" ht="15.75" customHeight="1" x14ac:dyDescent="0.25">
      <c r="A58" s="123" t="s">
        <v>3</v>
      </c>
      <c r="B58" s="124" t="s">
        <v>35</v>
      </c>
      <c r="C58" s="125">
        <v>1.9400000000000001E-2</v>
      </c>
      <c r="D58" s="149">
        <f>D$25*C58</f>
        <v>79.680000000000007</v>
      </c>
      <c r="E58" s="149">
        <f>E$25*C58</f>
        <v>79.680000000000007</v>
      </c>
      <c r="F58" s="149">
        <f>F$25*C58</f>
        <v>79.680000000000007</v>
      </c>
      <c r="G58" s="179">
        <f>G$25*C58</f>
        <v>79.680000000000007</v>
      </c>
    </row>
    <row r="59" spans="1:7" s="30" customFormat="1" ht="30" customHeight="1" x14ac:dyDescent="0.25">
      <c r="A59" s="123" t="s">
        <v>5</v>
      </c>
      <c r="B59" s="189" t="s">
        <v>310</v>
      </c>
      <c r="C59" s="125">
        <v>7.7000000000000002E-3</v>
      </c>
      <c r="D59" s="149">
        <f>D$25*C59</f>
        <v>31.63</v>
      </c>
      <c r="E59" s="149">
        <f>E$25*C59</f>
        <v>31.63</v>
      </c>
      <c r="F59" s="149">
        <f>F$25*C59</f>
        <v>31.63</v>
      </c>
      <c r="G59" s="179">
        <f>G$25*C59</f>
        <v>31.63</v>
      </c>
    </row>
    <row r="60" spans="1:7" s="30" customFormat="1" ht="32.25" customHeight="1" x14ac:dyDescent="0.25">
      <c r="A60" s="123" t="s">
        <v>20</v>
      </c>
      <c r="B60" s="124" t="s">
        <v>204</v>
      </c>
      <c r="C60" s="125">
        <v>0.04</v>
      </c>
      <c r="D60" s="149">
        <f>D$25*C60</f>
        <v>164.29</v>
      </c>
      <c r="E60" s="149">
        <f>E$25*C60</f>
        <v>164.29</v>
      </c>
      <c r="F60" s="149">
        <f>F$25*C60</f>
        <v>164.29</v>
      </c>
      <c r="G60" s="179">
        <f>G$25*C60</f>
        <v>164.29</v>
      </c>
    </row>
    <row r="61" spans="1:7" s="30" customFormat="1" ht="15.75" customHeight="1" x14ac:dyDescent="0.25">
      <c r="A61" s="344" t="s">
        <v>147</v>
      </c>
      <c r="B61" s="345"/>
      <c r="C61" s="265">
        <f>SUM(C56:C60)</f>
        <v>7.2099999999999997E-2</v>
      </c>
      <c r="D61" s="177">
        <f>SUM(D56:D60)</f>
        <v>296.13</v>
      </c>
      <c r="E61" s="177">
        <f>SUM(E56:E60)</f>
        <v>296.13</v>
      </c>
      <c r="F61" s="177">
        <f>SUM(F56:F60)</f>
        <v>296.13</v>
      </c>
      <c r="G61" s="178">
        <f>SUM(G56:G60)</f>
        <v>296.13</v>
      </c>
    </row>
    <row r="62" spans="1:7" s="30" customFormat="1" x14ac:dyDescent="0.25">
      <c r="A62" s="346" t="s">
        <v>155</v>
      </c>
      <c r="B62" s="347"/>
      <c r="C62" s="347"/>
      <c r="D62" s="136"/>
      <c r="E62" s="136"/>
      <c r="F62" s="136"/>
      <c r="G62" s="137"/>
    </row>
    <row r="63" spans="1:7" s="30" customFormat="1" x14ac:dyDescent="0.25">
      <c r="A63" s="257" t="s">
        <v>190</v>
      </c>
      <c r="B63" s="358" t="s">
        <v>36</v>
      </c>
      <c r="C63" s="358"/>
      <c r="D63" s="121" t="s">
        <v>10</v>
      </c>
      <c r="E63" s="121" t="s">
        <v>10</v>
      </c>
      <c r="F63" s="121" t="s">
        <v>10</v>
      </c>
      <c r="G63" s="122" t="s">
        <v>10</v>
      </c>
    </row>
    <row r="64" spans="1:7" s="30" customFormat="1" x14ac:dyDescent="0.25">
      <c r="A64" s="123" t="s">
        <v>0</v>
      </c>
      <c r="B64" s="124" t="s">
        <v>183</v>
      </c>
      <c r="C64" s="125">
        <f>C29/12</f>
        <v>9.2999999999999992E-3</v>
      </c>
      <c r="D64" s="149">
        <f t="shared" ref="D64:D70" si="4">(D$25+D$53+D$61+D$85)*C64</f>
        <v>73.08</v>
      </c>
      <c r="E64" s="149">
        <f t="shared" ref="E64:E70" si="5">(E$25+E$53+E$61+E$85)*C64</f>
        <v>73.08</v>
      </c>
      <c r="F64" s="149">
        <f t="shared" ref="F64:F70" si="6">(F$25+F$53+F$61+F$85)*C64</f>
        <v>73.08</v>
      </c>
      <c r="G64" s="179">
        <f t="shared" ref="G64:G70" si="7">(G$25+G$53+G$61+G$85)*C64</f>
        <v>73.08</v>
      </c>
    </row>
    <row r="65" spans="1:7" s="30" customFormat="1" x14ac:dyDescent="0.25">
      <c r="A65" s="123" t="s">
        <v>2</v>
      </c>
      <c r="B65" s="124" t="s">
        <v>184</v>
      </c>
      <c r="C65" s="125">
        <v>1.3899999999999999E-2</v>
      </c>
      <c r="D65" s="149">
        <f t="shared" si="4"/>
        <v>109.23</v>
      </c>
      <c r="E65" s="149">
        <f t="shared" si="5"/>
        <v>109.23</v>
      </c>
      <c r="F65" s="149">
        <f t="shared" si="6"/>
        <v>109.23</v>
      </c>
      <c r="G65" s="179">
        <f t="shared" si="7"/>
        <v>109.23</v>
      </c>
    </row>
    <row r="66" spans="1:7" s="30" customFormat="1" x14ac:dyDescent="0.25">
      <c r="A66" s="123" t="s">
        <v>3</v>
      </c>
      <c r="B66" s="124" t="s">
        <v>187</v>
      </c>
      <c r="C66" s="125">
        <v>1.2999999999999999E-3</v>
      </c>
      <c r="D66" s="149">
        <f t="shared" si="4"/>
        <v>10.220000000000001</v>
      </c>
      <c r="E66" s="149">
        <f t="shared" si="5"/>
        <v>10.220000000000001</v>
      </c>
      <c r="F66" s="149">
        <f t="shared" si="6"/>
        <v>10.220000000000001</v>
      </c>
      <c r="G66" s="179">
        <f t="shared" si="7"/>
        <v>10.220000000000001</v>
      </c>
    </row>
    <row r="67" spans="1:7" s="30" customFormat="1" x14ac:dyDescent="0.25">
      <c r="A67" s="123" t="s">
        <v>5</v>
      </c>
      <c r="B67" s="124" t="s">
        <v>185</v>
      </c>
      <c r="C67" s="125">
        <v>2.0000000000000001E-4</v>
      </c>
      <c r="D67" s="149">
        <f t="shared" si="4"/>
        <v>1.57</v>
      </c>
      <c r="E67" s="149">
        <f t="shared" si="5"/>
        <v>1.57</v>
      </c>
      <c r="F67" s="149">
        <f t="shared" si="6"/>
        <v>1.57</v>
      </c>
      <c r="G67" s="179">
        <f t="shared" si="7"/>
        <v>1.57</v>
      </c>
    </row>
    <row r="68" spans="1:7" s="30" customFormat="1" x14ac:dyDescent="0.25">
      <c r="A68" s="123" t="s">
        <v>20</v>
      </c>
      <c r="B68" s="124" t="s">
        <v>299</v>
      </c>
      <c r="C68" s="125">
        <v>2.8E-3</v>
      </c>
      <c r="D68" s="149">
        <f t="shared" si="4"/>
        <v>22</v>
      </c>
      <c r="E68" s="149">
        <f t="shared" si="5"/>
        <v>22</v>
      </c>
      <c r="F68" s="149">
        <f t="shared" si="6"/>
        <v>22</v>
      </c>
      <c r="G68" s="179">
        <f t="shared" si="7"/>
        <v>22</v>
      </c>
    </row>
    <row r="69" spans="1:7" s="30" customFormat="1" x14ac:dyDescent="0.25">
      <c r="A69" s="123" t="s">
        <v>21</v>
      </c>
      <c r="B69" s="124" t="s">
        <v>186</v>
      </c>
      <c r="C69" s="125">
        <v>2.9999999999999997E-4</v>
      </c>
      <c r="D69" s="149">
        <f t="shared" si="4"/>
        <v>2.36</v>
      </c>
      <c r="E69" s="149">
        <f t="shared" si="5"/>
        <v>2.36</v>
      </c>
      <c r="F69" s="149">
        <f t="shared" si="6"/>
        <v>2.36</v>
      </c>
      <c r="G69" s="179">
        <f t="shared" si="7"/>
        <v>2.36</v>
      </c>
    </row>
    <row r="70" spans="1:7" s="30" customFormat="1" ht="15.75" customHeight="1" x14ac:dyDescent="0.25">
      <c r="A70" s="123" t="s">
        <v>22</v>
      </c>
      <c r="B70" s="256" t="s">
        <v>188</v>
      </c>
      <c r="C70" s="125">
        <v>0</v>
      </c>
      <c r="D70" s="149">
        <f t="shared" si="4"/>
        <v>0</v>
      </c>
      <c r="E70" s="149">
        <f t="shared" si="5"/>
        <v>0</v>
      </c>
      <c r="F70" s="149">
        <f t="shared" si="6"/>
        <v>0</v>
      </c>
      <c r="G70" s="179">
        <f t="shared" si="7"/>
        <v>0</v>
      </c>
    </row>
    <row r="71" spans="1:7" s="30" customFormat="1" x14ac:dyDescent="0.25">
      <c r="A71" s="342" t="s">
        <v>29</v>
      </c>
      <c r="B71" s="343"/>
      <c r="C71" s="135">
        <f>SUM(C64:C70)</f>
        <v>2.7799999999999998E-2</v>
      </c>
      <c r="D71" s="183">
        <f>SUM(D64:D70)</f>
        <v>218.46</v>
      </c>
      <c r="E71" s="183">
        <f>SUM(E64:E70)</f>
        <v>218.46</v>
      </c>
      <c r="F71" s="183">
        <f>SUM(F64:F70)</f>
        <v>218.46</v>
      </c>
      <c r="G71" s="184">
        <f>SUM(G64:G70)</f>
        <v>218.46</v>
      </c>
    </row>
    <row r="72" spans="1:7" s="30" customFormat="1" x14ac:dyDescent="0.25">
      <c r="A72" s="259"/>
      <c r="B72" s="260"/>
      <c r="C72" s="155"/>
      <c r="D72" s="155"/>
      <c r="E72" s="190"/>
      <c r="F72" s="155"/>
      <c r="G72" s="191"/>
    </row>
    <row r="73" spans="1:7" s="30" customFormat="1" x14ac:dyDescent="0.25">
      <c r="A73" s="259"/>
      <c r="B73" s="354" t="s">
        <v>192</v>
      </c>
      <c r="C73" s="355"/>
      <c r="D73" s="121" t="s">
        <v>10</v>
      </c>
      <c r="E73" s="121" t="s">
        <v>10</v>
      </c>
      <c r="F73" s="121" t="s">
        <v>10</v>
      </c>
      <c r="G73" s="122" t="s">
        <v>10</v>
      </c>
    </row>
    <row r="74" spans="1:7" s="30" customFormat="1" x14ac:dyDescent="0.25">
      <c r="A74" s="146" t="s">
        <v>0</v>
      </c>
      <c r="B74" s="249" t="s">
        <v>193</v>
      </c>
      <c r="C74" s="192">
        <v>0</v>
      </c>
      <c r="D74" s="107">
        <f>$C$24*C74</f>
        <v>0</v>
      </c>
      <c r="E74" s="107">
        <f>$C$24*C74</f>
        <v>0</v>
      </c>
      <c r="F74" s="107">
        <f>$C$24*C74</f>
        <v>0</v>
      </c>
      <c r="G74" s="108">
        <f>$C$24*C74</f>
        <v>0</v>
      </c>
    </row>
    <row r="75" spans="1:7" s="30" customFormat="1" ht="15.75" customHeight="1" x14ac:dyDescent="0.25">
      <c r="A75" s="342" t="s">
        <v>27</v>
      </c>
      <c r="B75" s="343"/>
      <c r="C75" s="156">
        <v>0</v>
      </c>
      <c r="D75" s="63">
        <f>D74</f>
        <v>0</v>
      </c>
      <c r="E75" s="63">
        <f>E74</f>
        <v>0</v>
      </c>
      <c r="F75" s="63">
        <f>F74</f>
        <v>0</v>
      </c>
      <c r="G75" s="64">
        <f>G74</f>
        <v>0</v>
      </c>
    </row>
    <row r="76" spans="1:7" s="30" customFormat="1" ht="15.75" customHeight="1" x14ac:dyDescent="0.25">
      <c r="A76" s="346" t="s">
        <v>30</v>
      </c>
      <c r="B76" s="347"/>
      <c r="C76" s="347"/>
      <c r="D76" s="136"/>
      <c r="E76" s="136"/>
      <c r="F76" s="136"/>
      <c r="G76" s="137"/>
    </row>
    <row r="77" spans="1:7" s="30" customFormat="1" ht="15.75" customHeight="1" x14ac:dyDescent="0.25">
      <c r="A77" s="350" t="s">
        <v>194</v>
      </c>
      <c r="B77" s="351"/>
      <c r="C77" s="351"/>
      <c r="D77" s="193"/>
      <c r="E77" s="193"/>
      <c r="F77" s="193"/>
      <c r="G77" s="194"/>
    </row>
    <row r="78" spans="1:7" s="30" customFormat="1" ht="15.75" customHeight="1" x14ac:dyDescent="0.25">
      <c r="A78" s="257">
        <v>4</v>
      </c>
      <c r="B78" s="356" t="s">
        <v>205</v>
      </c>
      <c r="C78" s="357"/>
      <c r="D78" s="121" t="s">
        <v>10</v>
      </c>
      <c r="E78" s="121" t="s">
        <v>10</v>
      </c>
      <c r="F78" s="121" t="s">
        <v>10</v>
      </c>
      <c r="G78" s="122" t="s">
        <v>10</v>
      </c>
    </row>
    <row r="79" spans="1:7" s="30" customFormat="1" ht="15.75" customHeight="1" x14ac:dyDescent="0.25">
      <c r="A79" s="123" t="s">
        <v>190</v>
      </c>
      <c r="B79" s="124" t="s">
        <v>189</v>
      </c>
      <c r="C79" s="125">
        <f>C71</f>
        <v>2.7799999999999998E-2</v>
      </c>
      <c r="D79" s="149">
        <f>D71</f>
        <v>218.46</v>
      </c>
      <c r="E79" s="149">
        <f>E71</f>
        <v>218.46</v>
      </c>
      <c r="F79" s="149">
        <f>F71</f>
        <v>218.46</v>
      </c>
      <c r="G79" s="179">
        <f>G71</f>
        <v>218.46</v>
      </c>
    </row>
    <row r="80" spans="1:7" s="30" customFormat="1" ht="15.75" customHeight="1" x14ac:dyDescent="0.25">
      <c r="A80" s="123" t="s">
        <v>206</v>
      </c>
      <c r="B80" s="124" t="s">
        <v>192</v>
      </c>
      <c r="C80" s="125">
        <v>0</v>
      </c>
      <c r="D80" s="149">
        <f>(D$25+D$53+D$61)*C80</f>
        <v>0</v>
      </c>
      <c r="E80" s="149">
        <f>(E$25+E$53+E$61)*C80</f>
        <v>0</v>
      </c>
      <c r="F80" s="149">
        <f>(F$25+F$53+F$61)*C80</f>
        <v>0</v>
      </c>
      <c r="G80" s="179">
        <f>(G$25+G$53+G$61)*C80</f>
        <v>0</v>
      </c>
    </row>
    <row r="81" spans="1:7" s="30" customFormat="1" ht="15.75" customHeight="1" x14ac:dyDescent="0.25">
      <c r="A81" s="342" t="s">
        <v>27</v>
      </c>
      <c r="B81" s="343"/>
      <c r="C81" s="128">
        <f>SUM(C79:C80)</f>
        <v>2.7799999999999998E-2</v>
      </c>
      <c r="D81" s="180">
        <f>SUM(D79:D80)</f>
        <v>218.46</v>
      </c>
      <c r="E81" s="180">
        <f>SUM(E79:E80)</f>
        <v>218.46</v>
      </c>
      <c r="F81" s="180">
        <f>SUM(F79:F80)</f>
        <v>218.46</v>
      </c>
      <c r="G81" s="181">
        <f>SUM(G79:G80)</f>
        <v>218.46</v>
      </c>
    </row>
    <row r="82" spans="1:7" s="30" customFormat="1" ht="15.75" customHeight="1" x14ac:dyDescent="0.25">
      <c r="A82" s="344" t="s">
        <v>148</v>
      </c>
      <c r="B82" s="345"/>
      <c r="C82" s="345"/>
      <c r="D82" s="177">
        <f>SUM(D75+D81)</f>
        <v>218.46</v>
      </c>
      <c r="E82" s="177">
        <f>SUM(E75+E81)</f>
        <v>218.46</v>
      </c>
      <c r="F82" s="177">
        <f>SUM(F75+F81)</f>
        <v>218.46</v>
      </c>
      <c r="G82" s="178">
        <f>SUM(G75+G81)</f>
        <v>218.46</v>
      </c>
    </row>
    <row r="83" spans="1:7" s="30" customFormat="1" ht="15.75" customHeight="1" x14ac:dyDescent="0.25">
      <c r="A83" s="348" t="s">
        <v>156</v>
      </c>
      <c r="B83" s="349"/>
      <c r="C83" s="349"/>
      <c r="D83" s="195"/>
      <c r="E83" s="195"/>
      <c r="F83" s="195"/>
      <c r="G83" s="196"/>
    </row>
    <row r="84" spans="1:7" s="30" customFormat="1" ht="15.75" customHeight="1" x14ac:dyDescent="0.25">
      <c r="A84" s="257">
        <v>5</v>
      </c>
      <c r="B84" s="356" t="s">
        <v>24</v>
      </c>
      <c r="C84" s="357"/>
      <c r="D84" s="121" t="s">
        <v>10</v>
      </c>
      <c r="E84" s="121" t="s">
        <v>10</v>
      </c>
      <c r="F84" s="121" t="s">
        <v>10</v>
      </c>
      <c r="G84" s="122" t="s">
        <v>10</v>
      </c>
    </row>
    <row r="85" spans="1:7" s="30" customFormat="1" ht="15.75" customHeight="1" x14ac:dyDescent="0.25">
      <c r="A85" s="123" t="s">
        <v>0</v>
      </c>
      <c r="B85" s="378" t="s">
        <v>207</v>
      </c>
      <c r="C85" s="378"/>
      <c r="D85" s="126">
        <f>Uniformes!H7</f>
        <v>33.93</v>
      </c>
      <c r="E85" s="126">
        <f>Uniformes!H7</f>
        <v>33.93</v>
      </c>
      <c r="F85" s="126">
        <f>Uniformes!H7</f>
        <v>33.93</v>
      </c>
      <c r="G85" s="127">
        <f>Uniformes!H7</f>
        <v>33.93</v>
      </c>
    </row>
    <row r="86" spans="1:7" s="30" customFormat="1" ht="15.75" customHeight="1" x14ac:dyDescent="0.25">
      <c r="A86" s="123" t="s">
        <v>2</v>
      </c>
      <c r="B86" s="378" t="s">
        <v>208</v>
      </c>
      <c r="C86" s="378"/>
      <c r="D86" s="126">
        <f>Materiais!H18</f>
        <v>58.98</v>
      </c>
      <c r="E86" s="126">
        <f>Materiais!H19</f>
        <v>40.090000000000003</v>
      </c>
      <c r="F86" s="126">
        <f>Materiais!H20</f>
        <v>58.98</v>
      </c>
      <c r="G86" s="127">
        <f>Materiais!H21</f>
        <v>40.090000000000003</v>
      </c>
    </row>
    <row r="87" spans="1:7" s="30" customFormat="1" ht="15.75" customHeight="1" x14ac:dyDescent="0.25">
      <c r="A87" s="123" t="s">
        <v>3</v>
      </c>
      <c r="B87" s="378" t="s">
        <v>178</v>
      </c>
      <c r="C87" s="378"/>
      <c r="D87" s="76">
        <f>Equipamentos!H18</f>
        <v>1107.97</v>
      </c>
      <c r="E87" s="76">
        <f>Equipamentos!H19</f>
        <v>765.63</v>
      </c>
      <c r="F87" s="76">
        <f>Equipamentos!H20</f>
        <v>1107.97</v>
      </c>
      <c r="G87" s="148">
        <f>Equipamentos!H21</f>
        <v>765.63</v>
      </c>
    </row>
    <row r="88" spans="1:7" s="30" customFormat="1" ht="15.75" customHeight="1" x14ac:dyDescent="0.25">
      <c r="A88" s="123" t="s">
        <v>5</v>
      </c>
      <c r="B88" s="378" t="s">
        <v>132</v>
      </c>
      <c r="C88" s="378"/>
      <c r="D88" s="126">
        <v>0</v>
      </c>
      <c r="E88" s="126">
        <v>0</v>
      </c>
      <c r="F88" s="126">
        <v>0</v>
      </c>
      <c r="G88" s="127">
        <v>0</v>
      </c>
    </row>
    <row r="89" spans="1:7" s="30" customFormat="1" ht="15.75" customHeight="1" x14ac:dyDescent="0.25">
      <c r="A89" s="344" t="s">
        <v>149</v>
      </c>
      <c r="B89" s="345"/>
      <c r="C89" s="345"/>
      <c r="D89" s="117">
        <f>SUM(D85:D88)</f>
        <v>1200.8800000000001</v>
      </c>
      <c r="E89" s="117">
        <f>SUM(E85:E88)</f>
        <v>839.65</v>
      </c>
      <c r="F89" s="117">
        <f>SUM(F85:F88)</f>
        <v>1200.8800000000001</v>
      </c>
      <c r="G89" s="118">
        <f>SUM(G85:G88)</f>
        <v>839.65</v>
      </c>
    </row>
    <row r="90" spans="1:7" s="30" customFormat="1" ht="30" customHeight="1" x14ac:dyDescent="0.25">
      <c r="A90" s="348" t="s">
        <v>37</v>
      </c>
      <c r="B90" s="349"/>
      <c r="C90" s="349"/>
      <c r="D90" s="129">
        <f>D89+D82+D61+D53+D25</f>
        <v>9243.49</v>
      </c>
      <c r="E90" s="129">
        <f>E89+E82+E61+E53+E25</f>
        <v>8882.26</v>
      </c>
      <c r="F90" s="129">
        <f>F89+F82+F61+F53+F25</f>
        <v>9243.49</v>
      </c>
      <c r="G90" s="130">
        <f>G89+G82+G61+G53+G25</f>
        <v>8882.26</v>
      </c>
    </row>
    <row r="91" spans="1:7" s="30" customFormat="1" ht="19.5" customHeight="1" x14ac:dyDescent="0.25">
      <c r="A91" s="346" t="s">
        <v>157</v>
      </c>
      <c r="B91" s="347"/>
      <c r="C91" s="347"/>
      <c r="D91" s="136"/>
      <c r="E91" s="136"/>
      <c r="F91" s="136"/>
      <c r="G91" s="137"/>
    </row>
    <row r="92" spans="1:7" s="30" customFormat="1" x14ac:dyDescent="0.25">
      <c r="A92" s="257">
        <v>6</v>
      </c>
      <c r="B92" s="356" t="s">
        <v>38</v>
      </c>
      <c r="C92" s="372"/>
      <c r="D92" s="121" t="s">
        <v>10</v>
      </c>
      <c r="E92" s="121" t="s">
        <v>10</v>
      </c>
      <c r="F92" s="121" t="s">
        <v>10</v>
      </c>
      <c r="G92" s="122" t="s">
        <v>10</v>
      </c>
    </row>
    <row r="93" spans="1:7" s="30" customFormat="1" x14ac:dyDescent="0.25">
      <c r="A93" s="123" t="s">
        <v>0</v>
      </c>
      <c r="B93" s="124" t="s">
        <v>39</v>
      </c>
      <c r="C93" s="161">
        <v>0.05</v>
      </c>
      <c r="D93" s="149">
        <f>+D90*C93</f>
        <v>462.17</v>
      </c>
      <c r="E93" s="149">
        <f>+E90*C93</f>
        <v>444.11</v>
      </c>
      <c r="F93" s="149">
        <f>+F90*C93</f>
        <v>462.17</v>
      </c>
      <c r="G93" s="179">
        <f>+G90*C93</f>
        <v>444.11</v>
      </c>
    </row>
    <row r="94" spans="1:7" s="30" customFormat="1" x14ac:dyDescent="0.25">
      <c r="A94" s="123" t="s">
        <v>2</v>
      </c>
      <c r="B94" s="124" t="s">
        <v>40</v>
      </c>
      <c r="C94" s="161">
        <v>0.1</v>
      </c>
      <c r="D94" s="126">
        <f>(D90+D93)*C94</f>
        <v>970.57</v>
      </c>
      <c r="E94" s="126">
        <f>(E90+E93)*C94</f>
        <v>932.64</v>
      </c>
      <c r="F94" s="126">
        <f>(F90+F93)*C94</f>
        <v>970.57</v>
      </c>
      <c r="G94" s="127">
        <f>(G90+G93)*C94</f>
        <v>932.64</v>
      </c>
    </row>
    <row r="95" spans="1:7" s="30" customFormat="1" ht="30" x14ac:dyDescent="0.25">
      <c r="A95" s="123"/>
      <c r="B95" s="124" t="s">
        <v>47</v>
      </c>
      <c r="C95" s="125">
        <f>1-C102</f>
        <v>0.85750000000000004</v>
      </c>
      <c r="D95" s="149">
        <f>D90+D93+D94</f>
        <v>10676.23</v>
      </c>
      <c r="E95" s="149">
        <f>E90+E93+E94</f>
        <v>10259.01</v>
      </c>
      <c r="F95" s="149">
        <f>F90+F93+F94</f>
        <v>10676.23</v>
      </c>
      <c r="G95" s="179">
        <f>G90+G93+G94</f>
        <v>10259.01</v>
      </c>
    </row>
    <row r="96" spans="1:7" s="30" customFormat="1" x14ac:dyDescent="0.25">
      <c r="A96" s="123"/>
      <c r="B96" s="256"/>
      <c r="C96" s="40"/>
      <c r="D96" s="126">
        <f>D95/C95</f>
        <v>12450.41</v>
      </c>
      <c r="E96" s="126">
        <f>E95/C95</f>
        <v>11963.86</v>
      </c>
      <c r="F96" s="126">
        <f>F95/C95</f>
        <v>12450.41</v>
      </c>
      <c r="G96" s="127">
        <f>G95/C95</f>
        <v>11963.86</v>
      </c>
    </row>
    <row r="97" spans="1:7" s="30" customFormat="1" x14ac:dyDescent="0.25">
      <c r="A97" s="123" t="s">
        <v>3</v>
      </c>
      <c r="B97" s="256" t="s">
        <v>41</v>
      </c>
      <c r="C97" s="164">
        <f>C99+C100+C101</f>
        <v>0.14249999999999999</v>
      </c>
      <c r="D97" s="126"/>
      <c r="E97" s="126"/>
      <c r="F97" s="126"/>
      <c r="G97" s="127"/>
    </row>
    <row r="98" spans="1:7" s="30" customFormat="1" x14ac:dyDescent="0.25">
      <c r="A98" s="123" t="s">
        <v>292</v>
      </c>
      <c r="B98" s="256" t="s">
        <v>288</v>
      </c>
      <c r="C98" s="164">
        <f>C99+C100</f>
        <v>9.2499999999999999E-2</v>
      </c>
      <c r="D98" s="197"/>
      <c r="E98" s="197"/>
      <c r="F98" s="197"/>
      <c r="G98" s="198"/>
    </row>
    <row r="99" spans="1:7" s="30" customFormat="1" x14ac:dyDescent="0.25">
      <c r="A99" s="123" t="s">
        <v>293</v>
      </c>
      <c r="B99" s="124" t="s">
        <v>289</v>
      </c>
      <c r="C99" s="125">
        <v>1.6500000000000001E-2</v>
      </c>
      <c r="D99" s="149">
        <f>D96*C99</f>
        <v>205.43</v>
      </c>
      <c r="E99" s="149">
        <f>E96*C99</f>
        <v>197.4</v>
      </c>
      <c r="F99" s="149">
        <f>F96*C99</f>
        <v>205.43</v>
      </c>
      <c r="G99" s="179">
        <f>G96*C99</f>
        <v>197.4</v>
      </c>
    </row>
    <row r="100" spans="1:7" s="30" customFormat="1" x14ac:dyDescent="0.25">
      <c r="A100" s="123" t="s">
        <v>294</v>
      </c>
      <c r="B100" s="124" t="s">
        <v>290</v>
      </c>
      <c r="C100" s="125">
        <v>7.5999999999999998E-2</v>
      </c>
      <c r="D100" s="149">
        <f>D96*C100</f>
        <v>946.23</v>
      </c>
      <c r="E100" s="149">
        <f>E96*C100</f>
        <v>909.25</v>
      </c>
      <c r="F100" s="149">
        <f>F96*C100</f>
        <v>946.23</v>
      </c>
      <c r="G100" s="179">
        <f>G96*C100</f>
        <v>909.25</v>
      </c>
    </row>
    <row r="101" spans="1:7" s="30" customFormat="1" x14ac:dyDescent="0.25">
      <c r="A101" s="123" t="s">
        <v>295</v>
      </c>
      <c r="B101" s="124" t="s">
        <v>291</v>
      </c>
      <c r="C101" s="125">
        <v>0.05</v>
      </c>
      <c r="D101" s="149">
        <f>D96*C101</f>
        <v>622.52</v>
      </c>
      <c r="E101" s="149">
        <f>E96*C101</f>
        <v>598.19000000000005</v>
      </c>
      <c r="F101" s="149">
        <f>F96*C101</f>
        <v>622.52</v>
      </c>
      <c r="G101" s="179">
        <f>G96*C101</f>
        <v>598.19000000000005</v>
      </c>
    </row>
    <row r="102" spans="1:7" s="30" customFormat="1" x14ac:dyDescent="0.25">
      <c r="A102" s="257"/>
      <c r="B102" s="157" t="s">
        <v>42</v>
      </c>
      <c r="C102" s="165">
        <f>C97</f>
        <v>0.14249999999999999</v>
      </c>
      <c r="D102" s="166">
        <f>SUM(D99:D101)</f>
        <v>1774.18</v>
      </c>
      <c r="E102" s="166">
        <f>SUM(E99:E101)</f>
        <v>1704.84</v>
      </c>
      <c r="F102" s="166">
        <f>SUM(F99:F101)</f>
        <v>1774.18</v>
      </c>
      <c r="G102" s="167">
        <f>SUM(G99:G101)</f>
        <v>1704.84</v>
      </c>
    </row>
    <row r="103" spans="1:7" s="30" customFormat="1" ht="15.75" customHeight="1" x14ac:dyDescent="0.25">
      <c r="A103" s="342" t="s">
        <v>43</v>
      </c>
      <c r="B103" s="343"/>
      <c r="C103" s="343"/>
      <c r="D103" s="187">
        <f>SUM(D93:D94)+D102</f>
        <v>3206.92</v>
      </c>
      <c r="E103" s="187">
        <f>SUM(E93:E94)+E102</f>
        <v>3081.59</v>
      </c>
      <c r="F103" s="187">
        <f>SUM(F93:F94)+F102</f>
        <v>3206.92</v>
      </c>
      <c r="G103" s="188">
        <f>SUM(G93:G94)+G102</f>
        <v>3081.59</v>
      </c>
    </row>
    <row r="104" spans="1:7" s="30" customFormat="1" ht="15.75" customHeight="1" x14ac:dyDescent="0.25">
      <c r="A104" s="360" t="s">
        <v>44</v>
      </c>
      <c r="B104" s="361"/>
      <c r="C104" s="361"/>
      <c r="D104" s="199" t="s">
        <v>10</v>
      </c>
      <c r="E104" s="199" t="s">
        <v>10</v>
      </c>
      <c r="F104" s="199" t="s">
        <v>10</v>
      </c>
      <c r="G104" s="200" t="s">
        <v>10</v>
      </c>
    </row>
    <row r="105" spans="1:7" s="30" customFormat="1" x14ac:dyDescent="0.25">
      <c r="A105" s="123" t="s">
        <v>0</v>
      </c>
      <c r="B105" s="362" t="s">
        <v>45</v>
      </c>
      <c r="C105" s="362"/>
      <c r="D105" s="197">
        <f>D25</f>
        <v>4107.26</v>
      </c>
      <c r="E105" s="197">
        <f>E25</f>
        <v>4107.26</v>
      </c>
      <c r="F105" s="197">
        <f>F25</f>
        <v>4107.26</v>
      </c>
      <c r="G105" s="198">
        <f>G25</f>
        <v>4107.26</v>
      </c>
    </row>
    <row r="106" spans="1:7" s="30" customFormat="1" x14ac:dyDescent="0.25">
      <c r="A106" s="123" t="s">
        <v>2</v>
      </c>
      <c r="B106" s="362" t="s">
        <v>152</v>
      </c>
      <c r="C106" s="362"/>
      <c r="D106" s="197">
        <f>D53</f>
        <v>3420.76</v>
      </c>
      <c r="E106" s="197">
        <f>E53</f>
        <v>3420.76</v>
      </c>
      <c r="F106" s="197">
        <f>F53</f>
        <v>3420.76</v>
      </c>
      <c r="G106" s="198">
        <f>G53</f>
        <v>3420.76</v>
      </c>
    </row>
    <row r="107" spans="1:7" s="30" customFormat="1" x14ac:dyDescent="0.25">
      <c r="A107" s="123" t="s">
        <v>3</v>
      </c>
      <c r="B107" s="362" t="s">
        <v>150</v>
      </c>
      <c r="C107" s="362"/>
      <c r="D107" s="197">
        <f>D61</f>
        <v>296.13</v>
      </c>
      <c r="E107" s="197">
        <f>E61</f>
        <v>296.13</v>
      </c>
      <c r="F107" s="197">
        <f>F61</f>
        <v>296.13</v>
      </c>
      <c r="G107" s="198">
        <f>G61</f>
        <v>296.13</v>
      </c>
    </row>
    <row r="108" spans="1:7" s="30" customFormat="1" x14ac:dyDescent="0.25">
      <c r="A108" s="123" t="s">
        <v>5</v>
      </c>
      <c r="B108" s="362" t="s">
        <v>143</v>
      </c>
      <c r="C108" s="362"/>
      <c r="D108" s="197">
        <f>D82</f>
        <v>218.46</v>
      </c>
      <c r="E108" s="197">
        <f>E82</f>
        <v>218.46</v>
      </c>
      <c r="F108" s="197">
        <f>F82</f>
        <v>218.46</v>
      </c>
      <c r="G108" s="198">
        <f>G82</f>
        <v>218.46</v>
      </c>
    </row>
    <row r="109" spans="1:7" s="30" customFormat="1" x14ac:dyDescent="0.25">
      <c r="A109" s="123" t="s">
        <v>20</v>
      </c>
      <c r="B109" s="362" t="s">
        <v>151</v>
      </c>
      <c r="C109" s="362"/>
      <c r="D109" s="197">
        <f>D89</f>
        <v>1200.8800000000001</v>
      </c>
      <c r="E109" s="197">
        <f>E89</f>
        <v>839.65</v>
      </c>
      <c r="F109" s="197">
        <f>F89</f>
        <v>1200.8800000000001</v>
      </c>
      <c r="G109" s="198">
        <f>G89</f>
        <v>839.65</v>
      </c>
    </row>
    <row r="110" spans="1:7" s="30" customFormat="1" ht="15.75" customHeight="1" x14ac:dyDescent="0.25">
      <c r="A110" s="363" t="s">
        <v>296</v>
      </c>
      <c r="B110" s="364"/>
      <c r="C110" s="364"/>
      <c r="D110" s="121">
        <f>SUM(D105:D109)</f>
        <v>9243.49</v>
      </c>
      <c r="E110" s="121">
        <f>SUM(E105:E109)</f>
        <v>8882.26</v>
      </c>
      <c r="F110" s="121">
        <f>SUM(F105:F109)</f>
        <v>9243.49</v>
      </c>
      <c r="G110" s="122">
        <f>SUM(G105:G109)</f>
        <v>8882.26</v>
      </c>
    </row>
    <row r="111" spans="1:7" s="30" customFormat="1" x14ac:dyDescent="0.25">
      <c r="A111" s="123" t="s">
        <v>21</v>
      </c>
      <c r="B111" s="362" t="s">
        <v>153</v>
      </c>
      <c r="C111" s="362"/>
      <c r="D111" s="197">
        <f>D103</f>
        <v>3206.92</v>
      </c>
      <c r="E111" s="197">
        <f>E103</f>
        <v>3081.59</v>
      </c>
      <c r="F111" s="197">
        <f>F103</f>
        <v>3206.92</v>
      </c>
      <c r="G111" s="198">
        <f>G103</f>
        <v>3081.59</v>
      </c>
    </row>
    <row r="112" spans="1:7" s="30" customFormat="1" ht="16.5" customHeight="1" thickBot="1" x14ac:dyDescent="0.3">
      <c r="A112" s="370" t="s">
        <v>46</v>
      </c>
      <c r="B112" s="371"/>
      <c r="C112" s="371"/>
      <c r="D112" s="201">
        <f>SUM(D110:D111)</f>
        <v>12450.41</v>
      </c>
      <c r="E112" s="201">
        <f>SUM(E110:E111)</f>
        <v>11963.85</v>
      </c>
      <c r="F112" s="201">
        <f>SUM(F110:F111)</f>
        <v>12450.41</v>
      </c>
      <c r="G112" s="202">
        <f>SUM(G110:G111)</f>
        <v>11963.85</v>
      </c>
    </row>
    <row r="113" spans="2:7" x14ac:dyDescent="0.25">
      <c r="C113" s="31"/>
      <c r="D113" s="31"/>
      <c r="E113" s="31"/>
      <c r="F113" s="31"/>
      <c r="G113" s="31"/>
    </row>
    <row r="114" spans="2:7" x14ac:dyDescent="0.25">
      <c r="B114" s="28"/>
      <c r="C114" s="31"/>
      <c r="D114" s="31"/>
      <c r="E114" s="31"/>
      <c r="F114" s="31"/>
      <c r="G114" s="31"/>
    </row>
    <row r="115" spans="2:7" x14ac:dyDescent="0.25">
      <c r="B115" s="28"/>
      <c r="C115" s="31"/>
      <c r="D115" s="31"/>
      <c r="E115" s="31"/>
      <c r="F115" s="31"/>
      <c r="G115" s="31"/>
    </row>
    <row r="116" spans="2:7" x14ac:dyDescent="0.25">
      <c r="B116" s="28"/>
      <c r="C116" s="359"/>
      <c r="D116" s="359"/>
      <c r="E116" s="359"/>
      <c r="F116" s="359"/>
      <c r="G116" s="359"/>
    </row>
    <row r="117" spans="2:7" x14ac:dyDescent="0.25">
      <c r="B117" s="28"/>
      <c r="C117" s="31"/>
      <c r="D117" s="31"/>
      <c r="E117" s="31"/>
      <c r="F117" s="31"/>
      <c r="G117" s="31"/>
    </row>
    <row r="119" spans="2:7" x14ac:dyDescent="0.25">
      <c r="B119" s="36"/>
    </row>
    <row r="124" spans="2:7" x14ac:dyDescent="0.25">
      <c r="B124" s="28"/>
    </row>
  </sheetData>
  <mergeCells count="67">
    <mergeCell ref="B14:C14"/>
    <mergeCell ref="B15:C15"/>
    <mergeCell ref="D12:G12"/>
    <mergeCell ref="D14:G14"/>
    <mergeCell ref="D15:G15"/>
    <mergeCell ref="B12:C12"/>
    <mergeCell ref="B13:C13"/>
    <mergeCell ref="D13:G13"/>
    <mergeCell ref="B85:C85"/>
    <mergeCell ref="B86:C86"/>
    <mergeCell ref="B87:C87"/>
    <mergeCell ref="B84:C84"/>
    <mergeCell ref="A90:C90"/>
    <mergeCell ref="A89:C89"/>
    <mergeCell ref="B88:C88"/>
    <mergeCell ref="A91:C91"/>
    <mergeCell ref="A16:C16"/>
    <mergeCell ref="A3:G3"/>
    <mergeCell ref="A2:G2"/>
    <mergeCell ref="A112:C112"/>
    <mergeCell ref="B92:C92"/>
    <mergeCell ref="B32:C32"/>
    <mergeCell ref="A31:G31"/>
    <mergeCell ref="A30:B30"/>
    <mergeCell ref="A25:C25"/>
    <mergeCell ref="B17:C17"/>
    <mergeCell ref="B27:C27"/>
    <mergeCell ref="A26:C26"/>
    <mergeCell ref="A41:B41"/>
    <mergeCell ref="A53:C53"/>
    <mergeCell ref="B55:C55"/>
    <mergeCell ref="C116:G116"/>
    <mergeCell ref="A103:C103"/>
    <mergeCell ref="A104:C104"/>
    <mergeCell ref="B107:C107"/>
    <mergeCell ref="B111:C111"/>
    <mergeCell ref="B105:C105"/>
    <mergeCell ref="B106:C106"/>
    <mergeCell ref="A110:C110"/>
    <mergeCell ref="B108:C108"/>
    <mergeCell ref="B109:C109"/>
    <mergeCell ref="B42:C42"/>
    <mergeCell ref="B73:C73"/>
    <mergeCell ref="A75:B75"/>
    <mergeCell ref="A71:B71"/>
    <mergeCell ref="B78:C78"/>
    <mergeCell ref="B63:C63"/>
    <mergeCell ref="A48:C48"/>
    <mergeCell ref="A49:C49"/>
    <mergeCell ref="A54:C54"/>
    <mergeCell ref="A62:C62"/>
    <mergeCell ref="A61:B61"/>
    <mergeCell ref="A81:B81"/>
    <mergeCell ref="A82:C82"/>
    <mergeCell ref="A76:C76"/>
    <mergeCell ref="A83:C83"/>
    <mergeCell ref="A77:C77"/>
    <mergeCell ref="A1:G1"/>
    <mergeCell ref="C4:G4"/>
    <mergeCell ref="C5:G5"/>
    <mergeCell ref="C6:G6"/>
    <mergeCell ref="C7:G7"/>
    <mergeCell ref="A8:G8"/>
    <mergeCell ref="A9:G9"/>
    <mergeCell ref="A10:G10"/>
    <mergeCell ref="A11:C11"/>
    <mergeCell ref="D11:G11"/>
  </mergeCells>
  <hyperlinks>
    <hyperlink ref="B38" r:id="rId1" display="08 - Sebrae 0,3% ou 0,6% - IN nº 03, MPS/SRP/2005, Anexo II e III ver código da Tabela" xr:uid="{00000000-0004-0000-0300-000000000000}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125"/>
  <sheetViews>
    <sheetView view="pageBreakPreview" topLeftCell="A100" zoomScaleNormal="115" zoomScaleSheetLayoutView="100" workbookViewId="0">
      <selection activeCell="E113" sqref="E113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6" width="15.7109375" style="32" customWidth="1"/>
    <col min="7" max="7" width="15.7109375" style="37" customWidth="1"/>
    <col min="8" max="8" width="9.140625" style="28" customWidth="1"/>
    <col min="9" max="16384" width="9.140625" style="28"/>
  </cols>
  <sheetData>
    <row r="1" spans="1:7" x14ac:dyDescent="0.25">
      <c r="A1" s="331"/>
      <c r="B1" s="332"/>
      <c r="C1" s="332"/>
      <c r="D1" s="332"/>
      <c r="E1" s="332"/>
      <c r="F1" s="332"/>
      <c r="G1" s="333"/>
    </row>
    <row r="2" spans="1:7" s="38" customFormat="1" ht="16.5" customHeight="1" x14ac:dyDescent="0.25">
      <c r="A2" s="367" t="s">
        <v>127</v>
      </c>
      <c r="B2" s="368"/>
      <c r="C2" s="368"/>
      <c r="D2" s="368"/>
      <c r="E2" s="368"/>
      <c r="F2" s="368"/>
      <c r="G2" s="369"/>
    </row>
    <row r="3" spans="1:7" s="38" customFormat="1" x14ac:dyDescent="0.25">
      <c r="A3" s="325" t="s">
        <v>126</v>
      </c>
      <c r="B3" s="326"/>
      <c r="C3" s="326"/>
      <c r="D3" s="326"/>
      <c r="E3" s="326"/>
      <c r="F3" s="326"/>
      <c r="G3" s="327"/>
    </row>
    <row r="4" spans="1:7" s="38" customFormat="1" ht="15" customHeight="1" x14ac:dyDescent="0.25">
      <c r="A4" s="74" t="s">
        <v>0</v>
      </c>
      <c r="B4" s="102" t="s">
        <v>1</v>
      </c>
      <c r="C4" s="334">
        <v>2025</v>
      </c>
      <c r="D4" s="334"/>
      <c r="E4" s="334"/>
      <c r="F4" s="334"/>
      <c r="G4" s="335"/>
    </row>
    <row r="5" spans="1:7" s="38" customFormat="1" ht="60" customHeight="1" x14ac:dyDescent="0.25">
      <c r="A5" s="74" t="s">
        <v>2</v>
      </c>
      <c r="B5" s="102" t="s">
        <v>135</v>
      </c>
      <c r="C5" s="336" t="s">
        <v>242</v>
      </c>
      <c r="D5" s="336"/>
      <c r="E5" s="336"/>
      <c r="F5" s="336"/>
      <c r="G5" s="337"/>
    </row>
    <row r="6" spans="1:7" s="38" customFormat="1" ht="15.75" customHeight="1" x14ac:dyDescent="0.25">
      <c r="A6" s="74" t="s">
        <v>3</v>
      </c>
      <c r="B6" s="102" t="s">
        <v>4</v>
      </c>
      <c r="C6" s="336" t="s">
        <v>287</v>
      </c>
      <c r="D6" s="336"/>
      <c r="E6" s="336"/>
      <c r="F6" s="336"/>
      <c r="G6" s="337"/>
    </row>
    <row r="7" spans="1:7" s="38" customFormat="1" x14ac:dyDescent="0.25">
      <c r="A7" s="74" t="s">
        <v>5</v>
      </c>
      <c r="B7" s="102" t="s">
        <v>300</v>
      </c>
      <c r="C7" s="336">
        <v>12</v>
      </c>
      <c r="D7" s="336"/>
      <c r="E7" s="336"/>
      <c r="F7" s="336"/>
      <c r="G7" s="337"/>
    </row>
    <row r="8" spans="1:7" s="38" customFormat="1" x14ac:dyDescent="0.25">
      <c r="A8" s="325" t="s">
        <v>6</v>
      </c>
      <c r="B8" s="326"/>
      <c r="C8" s="326"/>
      <c r="D8" s="326"/>
      <c r="E8" s="326"/>
      <c r="F8" s="326"/>
      <c r="G8" s="327"/>
    </row>
    <row r="9" spans="1:7" s="38" customFormat="1" x14ac:dyDescent="0.25">
      <c r="A9" s="325" t="s">
        <v>7</v>
      </c>
      <c r="B9" s="326"/>
      <c r="C9" s="326"/>
      <c r="D9" s="326"/>
      <c r="E9" s="326"/>
      <c r="F9" s="326"/>
      <c r="G9" s="327"/>
    </row>
    <row r="10" spans="1:7" s="38" customFormat="1" ht="15.75" customHeight="1" x14ac:dyDescent="0.25">
      <c r="A10" s="325" t="s">
        <v>8</v>
      </c>
      <c r="B10" s="326"/>
      <c r="C10" s="326"/>
      <c r="D10" s="326"/>
      <c r="E10" s="326"/>
      <c r="F10" s="326"/>
      <c r="G10" s="327"/>
    </row>
    <row r="11" spans="1:7" s="38" customFormat="1" ht="30" customHeight="1" x14ac:dyDescent="0.25">
      <c r="A11" s="328" t="s">
        <v>9</v>
      </c>
      <c r="B11" s="329"/>
      <c r="C11" s="329"/>
      <c r="D11" s="394" t="s">
        <v>10</v>
      </c>
      <c r="E11" s="394"/>
      <c r="F11" s="394"/>
      <c r="G11" s="395"/>
    </row>
    <row r="12" spans="1:7" s="38" customFormat="1" ht="45" customHeight="1" x14ac:dyDescent="0.25">
      <c r="A12" s="74">
        <v>1</v>
      </c>
      <c r="B12" s="379" t="s">
        <v>128</v>
      </c>
      <c r="C12" s="379"/>
      <c r="D12" s="381" t="s">
        <v>243</v>
      </c>
      <c r="E12" s="381"/>
      <c r="F12" s="381"/>
      <c r="G12" s="382"/>
    </row>
    <row r="13" spans="1:7" s="38" customFormat="1" ht="30" customHeight="1" x14ac:dyDescent="0.25">
      <c r="A13" s="74">
        <v>2</v>
      </c>
      <c r="B13" s="379" t="s">
        <v>11</v>
      </c>
      <c r="C13" s="379"/>
      <c r="D13" s="392">
        <v>3500.06</v>
      </c>
      <c r="E13" s="392"/>
      <c r="F13" s="392"/>
      <c r="G13" s="393"/>
    </row>
    <row r="14" spans="1:7" s="38" customFormat="1" ht="15.75" customHeight="1" x14ac:dyDescent="0.25">
      <c r="A14" s="74">
        <v>3</v>
      </c>
      <c r="B14" s="379" t="s">
        <v>12</v>
      </c>
      <c r="C14" s="379"/>
      <c r="D14" s="381" t="s">
        <v>244</v>
      </c>
      <c r="E14" s="381"/>
      <c r="F14" s="381"/>
      <c r="G14" s="382"/>
    </row>
    <row r="15" spans="1:7" s="38" customFormat="1" x14ac:dyDescent="0.25">
      <c r="A15" s="74">
        <v>4</v>
      </c>
      <c r="B15" s="380" t="s">
        <v>13</v>
      </c>
      <c r="C15" s="380"/>
      <c r="D15" s="383">
        <v>2025</v>
      </c>
      <c r="E15" s="383"/>
      <c r="F15" s="383"/>
      <c r="G15" s="384"/>
    </row>
    <row r="16" spans="1:7" s="39" customFormat="1" ht="30" x14ac:dyDescent="0.25">
      <c r="A16" s="365" t="s">
        <v>14</v>
      </c>
      <c r="B16" s="366"/>
      <c r="C16" s="366"/>
      <c r="D16" s="272" t="s">
        <v>277</v>
      </c>
      <c r="E16" s="272" t="s">
        <v>280</v>
      </c>
      <c r="F16" s="262" t="s">
        <v>278</v>
      </c>
      <c r="G16" s="263" t="s">
        <v>279</v>
      </c>
    </row>
    <row r="17" spans="1:7" s="39" customFormat="1" x14ac:dyDescent="0.25">
      <c r="A17" s="259">
        <v>1</v>
      </c>
      <c r="B17" s="354" t="s">
        <v>15</v>
      </c>
      <c r="C17" s="354"/>
      <c r="D17" s="103" t="s">
        <v>10</v>
      </c>
      <c r="E17" s="103" t="s">
        <v>10</v>
      </c>
      <c r="F17" s="103" t="s">
        <v>10</v>
      </c>
      <c r="G17" s="104" t="s">
        <v>10</v>
      </c>
    </row>
    <row r="18" spans="1:7" s="38" customFormat="1" ht="15.75" customHeight="1" x14ac:dyDescent="0.25">
      <c r="A18" s="105" t="s">
        <v>0</v>
      </c>
      <c r="B18" s="106" t="s">
        <v>16</v>
      </c>
      <c r="C18" s="248"/>
      <c r="D18" s="76">
        <f>D13</f>
        <v>3500.06</v>
      </c>
      <c r="E18" s="76">
        <f>D13</f>
        <v>3500.06</v>
      </c>
      <c r="F18" s="76">
        <f>D13</f>
        <v>3500.06</v>
      </c>
      <c r="G18" s="148">
        <f>D13</f>
        <v>3500.06</v>
      </c>
    </row>
    <row r="19" spans="1:7" s="38" customFormat="1" ht="15.75" customHeight="1" x14ac:dyDescent="0.25">
      <c r="A19" s="105" t="s">
        <v>2</v>
      </c>
      <c r="B19" s="106" t="s">
        <v>17</v>
      </c>
      <c r="C19" s="109"/>
      <c r="D19" s="109"/>
      <c r="E19" s="109"/>
      <c r="F19" s="109"/>
      <c r="G19" s="110"/>
    </row>
    <row r="20" spans="1:7" s="38" customFormat="1" ht="15.75" customHeight="1" x14ac:dyDescent="0.25">
      <c r="A20" s="105" t="s">
        <v>3</v>
      </c>
      <c r="B20" s="106" t="s">
        <v>18</v>
      </c>
      <c r="C20" s="111">
        <v>1518</v>
      </c>
      <c r="D20" s="112">
        <f>40%*C20</f>
        <v>607.20000000000005</v>
      </c>
      <c r="E20" s="112">
        <f>40%*C20</f>
        <v>607.20000000000005</v>
      </c>
      <c r="F20" s="112">
        <f>40%*C20</f>
        <v>607.20000000000005</v>
      </c>
      <c r="G20" s="113">
        <f>40%*C20</f>
        <v>607.20000000000005</v>
      </c>
    </row>
    <row r="21" spans="1:7" s="38" customFormat="1" ht="15.75" customHeight="1" x14ac:dyDescent="0.25">
      <c r="A21" s="105" t="s">
        <v>5</v>
      </c>
      <c r="B21" s="106" t="s">
        <v>19</v>
      </c>
      <c r="C21" s="114"/>
      <c r="D21" s="112">
        <f>((((D18+D20)/220)*20%)*8)*15.21</f>
        <v>454.34</v>
      </c>
      <c r="E21" s="112">
        <f>((((E18+E20)/220)*20%)*8)*15.21</f>
        <v>454.34</v>
      </c>
      <c r="F21" s="112">
        <f>((((F18+F20)/220)*20%)*8)*15.21</f>
        <v>454.34</v>
      </c>
      <c r="G21" s="113">
        <f>((((G18+G20)/220)*20%)*8)*15.21</f>
        <v>454.34</v>
      </c>
    </row>
    <row r="22" spans="1:7" s="38" customFormat="1" ht="15.75" customHeight="1" x14ac:dyDescent="0.25">
      <c r="A22" s="105" t="s">
        <v>20</v>
      </c>
      <c r="B22" s="106" t="s">
        <v>195</v>
      </c>
      <c r="C22" s="114"/>
      <c r="D22" s="112"/>
      <c r="E22" s="112"/>
      <c r="F22" s="112"/>
      <c r="G22" s="113"/>
    </row>
    <row r="23" spans="1:7" s="38" customFormat="1" x14ac:dyDescent="0.25">
      <c r="A23" s="105" t="s">
        <v>21</v>
      </c>
      <c r="B23" s="106" t="s">
        <v>133</v>
      </c>
      <c r="C23" s="115"/>
      <c r="D23" s="112"/>
      <c r="E23" s="112"/>
      <c r="F23" s="112"/>
      <c r="G23" s="113"/>
    </row>
    <row r="24" spans="1:7" s="38" customFormat="1" ht="15.75" customHeight="1" x14ac:dyDescent="0.25">
      <c r="A24" s="105" t="s">
        <v>22</v>
      </c>
      <c r="B24" s="116" t="s">
        <v>134</v>
      </c>
      <c r="C24" s="115"/>
      <c r="D24" s="112"/>
      <c r="E24" s="112"/>
      <c r="F24" s="112"/>
      <c r="G24" s="113"/>
    </row>
    <row r="25" spans="1:7" s="39" customFormat="1" ht="15.75" customHeight="1" x14ac:dyDescent="0.25">
      <c r="A25" s="344" t="s">
        <v>145</v>
      </c>
      <c r="B25" s="345"/>
      <c r="C25" s="345"/>
      <c r="D25" s="117">
        <f>SUM(D18:D24)</f>
        <v>4561.6000000000004</v>
      </c>
      <c r="E25" s="117">
        <f>SUM(E18:E24)</f>
        <v>4561.6000000000004</v>
      </c>
      <c r="F25" s="117">
        <f>SUM(F18:F24)</f>
        <v>4561.6000000000004</v>
      </c>
      <c r="G25" s="118">
        <f>SUM(G18:G24)</f>
        <v>4561.6000000000004</v>
      </c>
    </row>
    <row r="26" spans="1:7" s="39" customFormat="1" x14ac:dyDescent="0.25">
      <c r="A26" s="365" t="s">
        <v>48</v>
      </c>
      <c r="B26" s="366"/>
      <c r="C26" s="366"/>
      <c r="D26" s="119"/>
      <c r="E26" s="119"/>
      <c r="F26" s="119"/>
      <c r="G26" s="120"/>
    </row>
    <row r="27" spans="1:7" s="38" customFormat="1" x14ac:dyDescent="0.25">
      <c r="A27" s="257" t="s">
        <v>136</v>
      </c>
      <c r="B27" s="356" t="s">
        <v>196</v>
      </c>
      <c r="C27" s="372"/>
      <c r="D27" s="121" t="s">
        <v>10</v>
      </c>
      <c r="E27" s="121" t="s">
        <v>10</v>
      </c>
      <c r="F27" s="121" t="s">
        <v>10</v>
      </c>
      <c r="G27" s="122" t="s">
        <v>10</v>
      </c>
    </row>
    <row r="28" spans="1:7" s="38" customFormat="1" x14ac:dyDescent="0.25">
      <c r="A28" s="123" t="s">
        <v>0</v>
      </c>
      <c r="B28" s="124" t="s">
        <v>28</v>
      </c>
      <c r="C28" s="125">
        <f>1/12</f>
        <v>8.3299999999999999E-2</v>
      </c>
      <c r="D28" s="126">
        <f>(D25)*C28</f>
        <v>379.98</v>
      </c>
      <c r="E28" s="126">
        <f>(E25)*C28</f>
        <v>379.98</v>
      </c>
      <c r="F28" s="126">
        <f>(F25)*C28</f>
        <v>379.98</v>
      </c>
      <c r="G28" s="127">
        <f>(G25)*C28</f>
        <v>379.98</v>
      </c>
    </row>
    <row r="29" spans="1:7" s="38" customFormat="1" x14ac:dyDescent="0.25">
      <c r="A29" s="123" t="s">
        <v>2</v>
      </c>
      <c r="B29" s="124" t="s">
        <v>141</v>
      </c>
      <c r="C29" s="125">
        <v>0.1111</v>
      </c>
      <c r="D29" s="126">
        <f>(D25)*C29</f>
        <v>506.79</v>
      </c>
      <c r="E29" s="126">
        <f>(E25)*C29</f>
        <v>506.79</v>
      </c>
      <c r="F29" s="126">
        <f>(F25)*C29</f>
        <v>506.79</v>
      </c>
      <c r="G29" s="127">
        <f>(G25)*C29</f>
        <v>506.79</v>
      </c>
    </row>
    <row r="30" spans="1:7" x14ac:dyDescent="0.25">
      <c r="A30" s="342" t="s">
        <v>27</v>
      </c>
      <c r="B30" s="343"/>
      <c r="C30" s="128">
        <f>SUM(C28:C29)</f>
        <v>0.19439999999999999</v>
      </c>
      <c r="D30" s="63">
        <f>SUM(D28:D29)</f>
        <v>886.77</v>
      </c>
      <c r="E30" s="63">
        <f>SUM(E28:E29)</f>
        <v>886.77</v>
      </c>
      <c r="F30" s="63">
        <f>SUM(F28:F29)</f>
        <v>886.77</v>
      </c>
      <c r="G30" s="64">
        <f>SUM(G28:G29)</f>
        <v>886.77</v>
      </c>
    </row>
    <row r="31" spans="1:7" ht="32.25" customHeight="1" x14ac:dyDescent="0.25">
      <c r="A31" s="375" t="s">
        <v>181</v>
      </c>
      <c r="B31" s="376"/>
      <c r="C31" s="376"/>
      <c r="D31" s="376"/>
      <c r="E31" s="376"/>
      <c r="F31" s="376"/>
      <c r="G31" s="377"/>
    </row>
    <row r="32" spans="1:7" x14ac:dyDescent="0.25">
      <c r="A32" s="251" t="s">
        <v>136</v>
      </c>
      <c r="B32" s="373" t="s">
        <v>25</v>
      </c>
      <c r="C32" s="374"/>
      <c r="D32" s="129" t="s">
        <v>10</v>
      </c>
      <c r="E32" s="129" t="s">
        <v>10</v>
      </c>
      <c r="F32" s="129" t="s">
        <v>10</v>
      </c>
      <c r="G32" s="130" t="s">
        <v>10</v>
      </c>
    </row>
    <row r="33" spans="1:7" x14ac:dyDescent="0.25">
      <c r="A33" s="123" t="s">
        <v>0</v>
      </c>
      <c r="B33" s="131" t="s">
        <v>301</v>
      </c>
      <c r="C33" s="125">
        <v>0.2</v>
      </c>
      <c r="D33" s="126">
        <f t="shared" ref="D33:D40" si="0">($D$25+D$30)*C33</f>
        <v>1089.67</v>
      </c>
      <c r="E33" s="126">
        <f t="shared" ref="E33:E40" si="1">($E$25+E$30)*C33</f>
        <v>1089.67</v>
      </c>
      <c r="F33" s="126">
        <f t="shared" ref="F33:F40" si="2">($F$25+F$30)*C33</f>
        <v>1089.67</v>
      </c>
      <c r="G33" s="127">
        <f t="shared" ref="G33:G40" si="3">($G$25+G$30)*C33</f>
        <v>1089.67</v>
      </c>
    </row>
    <row r="34" spans="1:7" x14ac:dyDescent="0.25">
      <c r="A34" s="123" t="s">
        <v>2</v>
      </c>
      <c r="B34" s="131" t="s">
        <v>302</v>
      </c>
      <c r="C34" s="132">
        <v>2.5000000000000001E-2</v>
      </c>
      <c r="D34" s="126">
        <f t="shared" si="0"/>
        <v>136.21</v>
      </c>
      <c r="E34" s="126">
        <f t="shared" si="1"/>
        <v>136.21</v>
      </c>
      <c r="F34" s="126">
        <f t="shared" si="2"/>
        <v>136.21</v>
      </c>
      <c r="G34" s="127">
        <f t="shared" si="3"/>
        <v>136.21</v>
      </c>
    </row>
    <row r="35" spans="1:7" ht="45" x14ac:dyDescent="0.25">
      <c r="A35" s="123" t="s">
        <v>3</v>
      </c>
      <c r="B35" s="250" t="s">
        <v>303</v>
      </c>
      <c r="C35" s="132">
        <v>0.03</v>
      </c>
      <c r="D35" s="126">
        <f t="shared" si="0"/>
        <v>163.44999999999999</v>
      </c>
      <c r="E35" s="126">
        <f t="shared" si="1"/>
        <v>163.44999999999999</v>
      </c>
      <c r="F35" s="126">
        <f t="shared" si="2"/>
        <v>163.44999999999999</v>
      </c>
      <c r="G35" s="127">
        <f t="shared" si="3"/>
        <v>163.44999999999999</v>
      </c>
    </row>
    <row r="36" spans="1:7" x14ac:dyDescent="0.25">
      <c r="A36" s="123" t="s">
        <v>5</v>
      </c>
      <c r="B36" s="131" t="s">
        <v>304</v>
      </c>
      <c r="C36" s="132">
        <v>1.4999999999999999E-2</v>
      </c>
      <c r="D36" s="126">
        <f t="shared" si="0"/>
        <v>81.73</v>
      </c>
      <c r="E36" s="126">
        <f t="shared" si="1"/>
        <v>81.73</v>
      </c>
      <c r="F36" s="126">
        <f t="shared" si="2"/>
        <v>81.73</v>
      </c>
      <c r="G36" s="127">
        <f t="shared" si="3"/>
        <v>81.73</v>
      </c>
    </row>
    <row r="37" spans="1:7" x14ac:dyDescent="0.25">
      <c r="A37" s="123" t="s">
        <v>20</v>
      </c>
      <c r="B37" s="131" t="s">
        <v>305</v>
      </c>
      <c r="C37" s="132">
        <v>0.01</v>
      </c>
      <c r="D37" s="126">
        <f t="shared" si="0"/>
        <v>54.48</v>
      </c>
      <c r="E37" s="126">
        <f t="shared" si="1"/>
        <v>54.48</v>
      </c>
      <c r="F37" s="126">
        <f t="shared" si="2"/>
        <v>54.48</v>
      </c>
      <c r="G37" s="127">
        <f t="shared" si="3"/>
        <v>54.48</v>
      </c>
    </row>
    <row r="38" spans="1:7" x14ac:dyDescent="0.25">
      <c r="A38" s="123" t="s">
        <v>21</v>
      </c>
      <c r="B38" s="133" t="s">
        <v>199</v>
      </c>
      <c r="C38" s="132">
        <v>6.0000000000000001E-3</v>
      </c>
      <c r="D38" s="126">
        <f t="shared" si="0"/>
        <v>32.69</v>
      </c>
      <c r="E38" s="126">
        <f t="shared" si="1"/>
        <v>32.69</v>
      </c>
      <c r="F38" s="126">
        <f t="shared" si="2"/>
        <v>32.69</v>
      </c>
      <c r="G38" s="127">
        <f t="shared" si="3"/>
        <v>32.69</v>
      </c>
    </row>
    <row r="39" spans="1:7" ht="30" x14ac:dyDescent="0.25">
      <c r="A39" s="123" t="s">
        <v>22</v>
      </c>
      <c r="B39" s="250" t="s">
        <v>306</v>
      </c>
      <c r="C39" s="132">
        <v>2E-3</v>
      </c>
      <c r="D39" s="126">
        <f t="shared" si="0"/>
        <v>10.9</v>
      </c>
      <c r="E39" s="126">
        <f t="shared" si="1"/>
        <v>10.9</v>
      </c>
      <c r="F39" s="126">
        <f t="shared" si="2"/>
        <v>10.9</v>
      </c>
      <c r="G39" s="127">
        <f t="shared" si="3"/>
        <v>10.9</v>
      </c>
    </row>
    <row r="40" spans="1:7" x14ac:dyDescent="0.25">
      <c r="A40" s="123" t="s">
        <v>26</v>
      </c>
      <c r="B40" s="134" t="s">
        <v>198</v>
      </c>
      <c r="C40" s="132">
        <v>0.08</v>
      </c>
      <c r="D40" s="126">
        <f t="shared" si="0"/>
        <v>435.87</v>
      </c>
      <c r="E40" s="126">
        <f t="shared" si="1"/>
        <v>435.87</v>
      </c>
      <c r="F40" s="126">
        <f t="shared" si="2"/>
        <v>435.87</v>
      </c>
      <c r="G40" s="127">
        <f t="shared" si="3"/>
        <v>435.87</v>
      </c>
    </row>
    <row r="41" spans="1:7" s="30" customFormat="1" x14ac:dyDescent="0.25">
      <c r="A41" s="342" t="s">
        <v>27</v>
      </c>
      <c r="B41" s="343"/>
      <c r="C41" s="135">
        <f>SUM(C33:C40)</f>
        <v>0.36799999999999999</v>
      </c>
      <c r="D41" s="63">
        <f>SUM(D33:D40)</f>
        <v>2005</v>
      </c>
      <c r="E41" s="63">
        <f>SUM(E33:E40)</f>
        <v>2005</v>
      </c>
      <c r="F41" s="63">
        <f>SUM(F33:F40)</f>
        <v>2005</v>
      </c>
      <c r="G41" s="64">
        <f>SUM(G33:G40)</f>
        <v>2005</v>
      </c>
    </row>
    <row r="42" spans="1:7" s="30" customFormat="1" x14ac:dyDescent="0.25">
      <c r="A42" s="346" t="s">
        <v>165</v>
      </c>
      <c r="B42" s="347"/>
      <c r="C42" s="347"/>
      <c r="D42" s="136"/>
      <c r="E42" s="136"/>
      <c r="F42" s="136"/>
      <c r="G42" s="137"/>
    </row>
    <row r="43" spans="1:7" s="30" customFormat="1" x14ac:dyDescent="0.25">
      <c r="A43" s="138" t="s">
        <v>201</v>
      </c>
      <c r="B43" s="352" t="s">
        <v>202</v>
      </c>
      <c r="C43" s="353"/>
      <c r="D43" s="139" t="s">
        <v>10</v>
      </c>
      <c r="E43" s="139" t="s">
        <v>10</v>
      </c>
      <c r="F43" s="139" t="s">
        <v>10</v>
      </c>
      <c r="G43" s="140" t="s">
        <v>10</v>
      </c>
    </row>
    <row r="44" spans="1:7" s="30" customFormat="1" x14ac:dyDescent="0.25">
      <c r="A44" s="141" t="s">
        <v>0</v>
      </c>
      <c r="B44" s="142" t="s">
        <v>137</v>
      </c>
      <c r="C44" s="143"/>
      <c r="D44" s="144">
        <v>139.72</v>
      </c>
      <c r="E44" s="144">
        <v>139.72</v>
      </c>
      <c r="F44" s="144">
        <v>139.72</v>
      </c>
      <c r="G44" s="145">
        <v>139.72</v>
      </c>
    </row>
    <row r="45" spans="1:7" s="30" customFormat="1" x14ac:dyDescent="0.25">
      <c r="A45" s="146" t="s">
        <v>2</v>
      </c>
      <c r="B45" s="116" t="s">
        <v>182</v>
      </c>
      <c r="C45" s="147">
        <v>626.94000000000005</v>
      </c>
      <c r="D45" s="76">
        <f>C45-(C45*0.99%)</f>
        <v>620.73</v>
      </c>
      <c r="E45" s="76">
        <f>C45-(C45*0.99%)</f>
        <v>620.73</v>
      </c>
      <c r="F45" s="76">
        <f>C45-(C45*0.99%)</f>
        <v>620.73</v>
      </c>
      <c r="G45" s="148">
        <f>C45-(C45*0.99%)</f>
        <v>620.73</v>
      </c>
    </row>
    <row r="46" spans="1:7" s="30" customFormat="1" x14ac:dyDescent="0.25">
      <c r="A46" s="123" t="s">
        <v>3</v>
      </c>
      <c r="B46" s="124" t="s">
        <v>129</v>
      </c>
      <c r="C46" s="149"/>
      <c r="D46" s="150">
        <v>0</v>
      </c>
      <c r="E46" s="150">
        <v>0</v>
      </c>
      <c r="F46" s="150">
        <v>0</v>
      </c>
      <c r="G46" s="151">
        <v>0</v>
      </c>
    </row>
    <row r="47" spans="1:7" s="30" customFormat="1" x14ac:dyDescent="0.25">
      <c r="A47" s="123" t="s">
        <v>5</v>
      </c>
      <c r="B47" s="124" t="s">
        <v>130</v>
      </c>
      <c r="C47" s="125">
        <v>0.5</v>
      </c>
      <c r="D47" s="150">
        <f>(D18*C47*0.0199*2)/12</f>
        <v>5.8</v>
      </c>
      <c r="E47" s="150">
        <f>(E18*C47*0.0199*2)/12</f>
        <v>5.8</v>
      </c>
      <c r="F47" s="150">
        <f>(F18*C47*0.0199*2)/12</f>
        <v>5.8</v>
      </c>
      <c r="G47" s="151">
        <f>(G18*C47*0.0199*2)/12</f>
        <v>5.8</v>
      </c>
    </row>
    <row r="48" spans="1:7" s="30" customFormat="1" x14ac:dyDescent="0.25">
      <c r="A48" s="123" t="s">
        <v>20</v>
      </c>
      <c r="B48" s="124" t="s">
        <v>131</v>
      </c>
      <c r="C48" s="149"/>
      <c r="D48" s="285">
        <v>50.76</v>
      </c>
      <c r="E48" s="285">
        <v>50.76</v>
      </c>
      <c r="F48" s="285">
        <v>50.76</v>
      </c>
      <c r="G48" s="286">
        <v>50.76</v>
      </c>
    </row>
    <row r="49" spans="1:7" s="30" customFormat="1" ht="15.75" customHeight="1" x14ac:dyDescent="0.25">
      <c r="A49" s="342" t="s">
        <v>23</v>
      </c>
      <c r="B49" s="343"/>
      <c r="C49" s="343"/>
      <c r="D49" s="63">
        <f>SUM(D44:D48)</f>
        <v>817.01</v>
      </c>
      <c r="E49" s="63">
        <f>SUM(E44:E48)</f>
        <v>817.01</v>
      </c>
      <c r="F49" s="63">
        <f>SUM(F44:F48)</f>
        <v>817.01</v>
      </c>
      <c r="G49" s="64">
        <f>SUM(G44:G48)</f>
        <v>817.01</v>
      </c>
    </row>
    <row r="50" spans="1:7" s="30" customFormat="1" ht="15.75" customHeight="1" x14ac:dyDescent="0.25">
      <c r="A50" s="346" t="s">
        <v>209</v>
      </c>
      <c r="B50" s="347"/>
      <c r="C50" s="347"/>
      <c r="D50" s="136"/>
      <c r="E50" s="136"/>
      <c r="F50" s="136"/>
      <c r="G50" s="137"/>
    </row>
    <row r="51" spans="1:7" s="30" customFormat="1" ht="15.75" customHeight="1" x14ac:dyDescent="0.25">
      <c r="A51" s="259" t="s">
        <v>136</v>
      </c>
      <c r="B51" s="152" t="s">
        <v>138</v>
      </c>
      <c r="C51" s="260"/>
      <c r="D51" s="107">
        <f>D30</f>
        <v>886.77</v>
      </c>
      <c r="E51" s="107">
        <f>E30</f>
        <v>886.77</v>
      </c>
      <c r="F51" s="107">
        <f>F30</f>
        <v>886.77</v>
      </c>
      <c r="G51" s="108">
        <f>G30</f>
        <v>886.77</v>
      </c>
    </row>
    <row r="52" spans="1:7" s="30" customFormat="1" ht="15.75" customHeight="1" x14ac:dyDescent="0.25">
      <c r="A52" s="259" t="s">
        <v>200</v>
      </c>
      <c r="B52" s="152" t="s">
        <v>139</v>
      </c>
      <c r="C52" s="260"/>
      <c r="D52" s="107">
        <f>D41</f>
        <v>2005</v>
      </c>
      <c r="E52" s="107">
        <f>E41</f>
        <v>2005</v>
      </c>
      <c r="F52" s="107">
        <f>F41</f>
        <v>2005</v>
      </c>
      <c r="G52" s="108">
        <f>G41</f>
        <v>2005</v>
      </c>
    </row>
    <row r="53" spans="1:7" s="30" customFormat="1" ht="15.75" customHeight="1" x14ac:dyDescent="0.25">
      <c r="A53" s="259" t="s">
        <v>201</v>
      </c>
      <c r="B53" s="152" t="s">
        <v>140</v>
      </c>
      <c r="C53" s="260"/>
      <c r="D53" s="107">
        <f>D49</f>
        <v>817.01</v>
      </c>
      <c r="E53" s="107">
        <f>E49</f>
        <v>817.01</v>
      </c>
      <c r="F53" s="107">
        <f>F49</f>
        <v>817.01</v>
      </c>
      <c r="G53" s="108">
        <f>G49</f>
        <v>817.01</v>
      </c>
    </row>
    <row r="54" spans="1:7" s="30" customFormat="1" ht="15.75" customHeight="1" x14ac:dyDescent="0.25">
      <c r="A54" s="344" t="s">
        <v>146</v>
      </c>
      <c r="B54" s="345"/>
      <c r="C54" s="345"/>
      <c r="D54" s="117">
        <f>SUM(D51:D53)</f>
        <v>3708.78</v>
      </c>
      <c r="E54" s="117">
        <f>SUM(E51:E53)</f>
        <v>3708.78</v>
      </c>
      <c r="F54" s="117">
        <f>SUM(F51:F53)</f>
        <v>3708.78</v>
      </c>
      <c r="G54" s="118">
        <f>SUM(G51:G53)</f>
        <v>3708.78</v>
      </c>
    </row>
    <row r="55" spans="1:7" s="30" customFormat="1" ht="15.75" customHeight="1" x14ac:dyDescent="0.25">
      <c r="A55" s="365" t="s">
        <v>154</v>
      </c>
      <c r="B55" s="366"/>
      <c r="C55" s="366"/>
      <c r="D55" s="119"/>
      <c r="E55" s="119"/>
      <c r="F55" s="119"/>
      <c r="G55" s="120"/>
    </row>
    <row r="56" spans="1:7" s="30" customFormat="1" ht="15.75" customHeight="1" x14ac:dyDescent="0.25">
      <c r="A56" s="257" t="s">
        <v>191</v>
      </c>
      <c r="B56" s="356" t="s">
        <v>32</v>
      </c>
      <c r="C56" s="357"/>
      <c r="D56" s="121" t="s">
        <v>10</v>
      </c>
      <c r="E56" s="121" t="s">
        <v>10</v>
      </c>
      <c r="F56" s="121" t="s">
        <v>10</v>
      </c>
      <c r="G56" s="122" t="s">
        <v>10</v>
      </c>
    </row>
    <row r="57" spans="1:7" s="30" customFormat="1" ht="15.75" customHeight="1" x14ac:dyDescent="0.25">
      <c r="A57" s="123" t="s">
        <v>0</v>
      </c>
      <c r="B57" s="124" t="s">
        <v>33</v>
      </c>
      <c r="C57" s="125">
        <v>4.5999999999999999E-3</v>
      </c>
      <c r="D57" s="126">
        <f>D$25*C57</f>
        <v>20.98</v>
      </c>
      <c r="E57" s="126">
        <f>E$25*C57</f>
        <v>20.98</v>
      </c>
      <c r="F57" s="126">
        <f>F$25*C57</f>
        <v>20.98</v>
      </c>
      <c r="G57" s="127">
        <f>G$25*C57</f>
        <v>20.98</v>
      </c>
    </row>
    <row r="58" spans="1:7" s="30" customFormat="1" ht="15.75" customHeight="1" x14ac:dyDescent="0.25">
      <c r="A58" s="123" t="s">
        <v>2</v>
      </c>
      <c r="B58" s="124" t="s">
        <v>34</v>
      </c>
      <c r="C58" s="125">
        <v>4.0000000000000002E-4</v>
      </c>
      <c r="D58" s="126">
        <f>D$25*C58</f>
        <v>1.82</v>
      </c>
      <c r="E58" s="126">
        <f>E$25*C58</f>
        <v>1.82</v>
      </c>
      <c r="F58" s="126">
        <f>F$25*C58</f>
        <v>1.82</v>
      </c>
      <c r="G58" s="127">
        <f>G$25*C58</f>
        <v>1.82</v>
      </c>
    </row>
    <row r="59" spans="1:7" s="30" customFormat="1" ht="15.75" customHeight="1" x14ac:dyDescent="0.25">
      <c r="A59" s="123" t="s">
        <v>3</v>
      </c>
      <c r="B59" s="154" t="s">
        <v>35</v>
      </c>
      <c r="C59" s="125">
        <v>1.9400000000000001E-2</v>
      </c>
      <c r="D59" s="126">
        <f>D$25*C59</f>
        <v>88.5</v>
      </c>
      <c r="E59" s="126">
        <f>E$25*C59</f>
        <v>88.5</v>
      </c>
      <c r="F59" s="126">
        <f>F$25*C59</f>
        <v>88.5</v>
      </c>
      <c r="G59" s="127">
        <f>G$25*C59</f>
        <v>88.5</v>
      </c>
    </row>
    <row r="60" spans="1:7" s="30" customFormat="1" ht="30.75" customHeight="1" x14ac:dyDescent="0.25">
      <c r="A60" s="123" t="s">
        <v>5</v>
      </c>
      <c r="B60" s="124" t="s">
        <v>310</v>
      </c>
      <c r="C60" s="125">
        <v>7.7000000000000002E-3</v>
      </c>
      <c r="D60" s="126">
        <f>D$25*C60</f>
        <v>35.119999999999997</v>
      </c>
      <c r="E60" s="126">
        <f>E$25*C60</f>
        <v>35.119999999999997</v>
      </c>
      <c r="F60" s="126">
        <f>F$25*C60</f>
        <v>35.119999999999997</v>
      </c>
      <c r="G60" s="127">
        <f>G$25*C60</f>
        <v>35.119999999999997</v>
      </c>
    </row>
    <row r="61" spans="1:7" s="30" customFormat="1" ht="15.75" customHeight="1" x14ac:dyDescent="0.25">
      <c r="A61" s="123" t="s">
        <v>20</v>
      </c>
      <c r="B61" s="124" t="s">
        <v>142</v>
      </c>
      <c r="C61" s="125">
        <v>0.04</v>
      </c>
      <c r="D61" s="126">
        <f>D$25*C61</f>
        <v>182.46</v>
      </c>
      <c r="E61" s="126">
        <f>E$25*C61</f>
        <v>182.46</v>
      </c>
      <c r="F61" s="126">
        <f>F$25*C61</f>
        <v>182.46</v>
      </c>
      <c r="G61" s="127">
        <f>G$25*C61</f>
        <v>182.46</v>
      </c>
    </row>
    <row r="62" spans="1:7" s="30" customFormat="1" ht="15.75" customHeight="1" x14ac:dyDescent="0.25">
      <c r="A62" s="344" t="s">
        <v>147</v>
      </c>
      <c r="B62" s="345"/>
      <c r="C62" s="265">
        <f>SUM(C57:C61)</f>
        <v>7.2099999999999997E-2</v>
      </c>
      <c r="D62" s="117">
        <f>SUM(D57:D61)</f>
        <v>328.88</v>
      </c>
      <c r="E62" s="117">
        <f>SUM(E57:E61)</f>
        <v>328.88</v>
      </c>
      <c r="F62" s="117">
        <f>SUM(F57:F61)</f>
        <v>328.88</v>
      </c>
      <c r="G62" s="118">
        <f>SUM(G57:G61)</f>
        <v>328.88</v>
      </c>
    </row>
    <row r="63" spans="1:7" s="30" customFormat="1" x14ac:dyDescent="0.25">
      <c r="A63" s="365" t="s">
        <v>155</v>
      </c>
      <c r="B63" s="366"/>
      <c r="C63" s="366"/>
      <c r="D63" s="119"/>
      <c r="E63" s="119"/>
      <c r="F63" s="119"/>
      <c r="G63" s="120"/>
    </row>
    <row r="64" spans="1:7" s="30" customFormat="1" x14ac:dyDescent="0.25">
      <c r="A64" s="257" t="s">
        <v>190</v>
      </c>
      <c r="B64" s="358" t="s">
        <v>189</v>
      </c>
      <c r="C64" s="358"/>
      <c r="D64" s="121" t="s">
        <v>10</v>
      </c>
      <c r="E64" s="121" t="s">
        <v>10</v>
      </c>
      <c r="F64" s="121" t="s">
        <v>10</v>
      </c>
      <c r="G64" s="122" t="s">
        <v>10</v>
      </c>
    </row>
    <row r="65" spans="1:7" s="30" customFormat="1" x14ac:dyDescent="0.25">
      <c r="A65" s="123" t="s">
        <v>0</v>
      </c>
      <c r="B65" s="124" t="s">
        <v>183</v>
      </c>
      <c r="C65" s="125">
        <f>C29/12</f>
        <v>9.2999999999999992E-3</v>
      </c>
      <c r="D65" s="126">
        <f t="shared" ref="D65:D71" si="4">(D$25+D$54+D$62+D$86)*C65</f>
        <v>80.290000000000006</v>
      </c>
      <c r="E65" s="126">
        <f t="shared" ref="E65:E71" si="5">(E$25+E$54+E$62+E$86)*C65</f>
        <v>80.290000000000006</v>
      </c>
      <c r="F65" s="126">
        <f t="shared" ref="F65:F71" si="6">(F$25+F$54+F$62+F$86)*C65</f>
        <v>80.290000000000006</v>
      </c>
      <c r="G65" s="127">
        <f t="shared" ref="G65:G71" si="7">(G$25+G$54+G$62+G$86)*C65</f>
        <v>80.290000000000006</v>
      </c>
    </row>
    <row r="66" spans="1:7" s="30" customFormat="1" x14ac:dyDescent="0.25">
      <c r="A66" s="123" t="s">
        <v>2</v>
      </c>
      <c r="B66" s="124" t="s">
        <v>184</v>
      </c>
      <c r="C66" s="125">
        <v>1.3899999999999999E-2</v>
      </c>
      <c r="D66" s="126">
        <f t="shared" si="4"/>
        <v>120</v>
      </c>
      <c r="E66" s="126">
        <f t="shared" si="5"/>
        <v>120</v>
      </c>
      <c r="F66" s="126">
        <f t="shared" si="6"/>
        <v>120</v>
      </c>
      <c r="G66" s="127">
        <f t="shared" si="7"/>
        <v>120</v>
      </c>
    </row>
    <row r="67" spans="1:7" s="30" customFormat="1" x14ac:dyDescent="0.25">
      <c r="A67" s="123" t="s">
        <v>3</v>
      </c>
      <c r="B67" s="124" t="s">
        <v>187</v>
      </c>
      <c r="C67" s="125">
        <v>1.2999999999999999E-3</v>
      </c>
      <c r="D67" s="126">
        <f t="shared" si="4"/>
        <v>11.22</v>
      </c>
      <c r="E67" s="126">
        <f t="shared" si="5"/>
        <v>11.22</v>
      </c>
      <c r="F67" s="126">
        <f t="shared" si="6"/>
        <v>11.22</v>
      </c>
      <c r="G67" s="127">
        <f t="shared" si="7"/>
        <v>11.22</v>
      </c>
    </row>
    <row r="68" spans="1:7" s="30" customFormat="1" x14ac:dyDescent="0.25">
      <c r="A68" s="123" t="s">
        <v>5</v>
      </c>
      <c r="B68" s="124" t="s">
        <v>185</v>
      </c>
      <c r="C68" s="125">
        <v>2.0000000000000001E-4</v>
      </c>
      <c r="D68" s="126">
        <f t="shared" si="4"/>
        <v>1.73</v>
      </c>
      <c r="E68" s="126">
        <f t="shared" si="5"/>
        <v>1.73</v>
      </c>
      <c r="F68" s="126">
        <f t="shared" si="6"/>
        <v>1.73</v>
      </c>
      <c r="G68" s="127">
        <f t="shared" si="7"/>
        <v>1.73</v>
      </c>
    </row>
    <row r="69" spans="1:7" s="30" customFormat="1" x14ac:dyDescent="0.25">
      <c r="A69" s="123" t="s">
        <v>20</v>
      </c>
      <c r="B69" s="124" t="s">
        <v>299</v>
      </c>
      <c r="C69" s="125">
        <v>2.8E-3</v>
      </c>
      <c r="D69" s="126">
        <f t="shared" si="4"/>
        <v>24.17</v>
      </c>
      <c r="E69" s="126">
        <f t="shared" si="5"/>
        <v>24.17</v>
      </c>
      <c r="F69" s="126">
        <f t="shared" si="6"/>
        <v>24.17</v>
      </c>
      <c r="G69" s="127">
        <f t="shared" si="7"/>
        <v>24.17</v>
      </c>
    </row>
    <row r="70" spans="1:7" s="30" customFormat="1" x14ac:dyDescent="0.25">
      <c r="A70" s="123" t="s">
        <v>21</v>
      </c>
      <c r="B70" s="124" t="s">
        <v>186</v>
      </c>
      <c r="C70" s="125">
        <v>2.9999999999999997E-4</v>
      </c>
      <c r="D70" s="126">
        <f t="shared" si="4"/>
        <v>2.59</v>
      </c>
      <c r="E70" s="126">
        <f t="shared" si="5"/>
        <v>2.59</v>
      </c>
      <c r="F70" s="126">
        <f t="shared" si="6"/>
        <v>2.59</v>
      </c>
      <c r="G70" s="127">
        <f t="shared" si="7"/>
        <v>2.59</v>
      </c>
    </row>
    <row r="71" spans="1:7" s="30" customFormat="1" ht="15.75" customHeight="1" x14ac:dyDescent="0.25">
      <c r="A71" s="123" t="s">
        <v>22</v>
      </c>
      <c r="B71" s="256" t="s">
        <v>188</v>
      </c>
      <c r="C71" s="125">
        <v>0</v>
      </c>
      <c r="D71" s="126">
        <f t="shared" si="4"/>
        <v>0</v>
      </c>
      <c r="E71" s="126">
        <f t="shared" si="5"/>
        <v>0</v>
      </c>
      <c r="F71" s="126">
        <f t="shared" si="6"/>
        <v>0</v>
      </c>
      <c r="G71" s="127">
        <f t="shared" si="7"/>
        <v>0</v>
      </c>
    </row>
    <row r="72" spans="1:7" s="30" customFormat="1" x14ac:dyDescent="0.25">
      <c r="A72" s="342" t="s">
        <v>29</v>
      </c>
      <c r="B72" s="343"/>
      <c r="C72" s="135">
        <f>SUM(C65:C71)</f>
        <v>2.7799999999999998E-2</v>
      </c>
      <c r="D72" s="63">
        <f>SUM(D65:D71)</f>
        <v>240</v>
      </c>
      <c r="E72" s="63">
        <f>SUM(E65:E71)</f>
        <v>240</v>
      </c>
      <c r="F72" s="63">
        <f>SUM(F65:F71)</f>
        <v>240</v>
      </c>
      <c r="G72" s="64">
        <f>SUM(G65:G71)</f>
        <v>240</v>
      </c>
    </row>
    <row r="73" spans="1:7" s="30" customFormat="1" x14ac:dyDescent="0.25">
      <c r="A73" s="259"/>
      <c r="B73" s="260"/>
      <c r="C73" s="155"/>
      <c r="D73" s="155"/>
      <c r="E73" s="76"/>
      <c r="F73" s="155"/>
      <c r="G73" s="148"/>
    </row>
    <row r="74" spans="1:7" s="30" customFormat="1" x14ac:dyDescent="0.25">
      <c r="A74" s="259"/>
      <c r="B74" s="354" t="s">
        <v>192</v>
      </c>
      <c r="C74" s="355"/>
      <c r="D74" s="121" t="s">
        <v>10</v>
      </c>
      <c r="E74" s="121" t="s">
        <v>10</v>
      </c>
      <c r="F74" s="121" t="s">
        <v>10</v>
      </c>
      <c r="G74" s="122" t="s">
        <v>10</v>
      </c>
    </row>
    <row r="75" spans="1:7" s="30" customFormat="1" x14ac:dyDescent="0.25">
      <c r="A75" s="123" t="s">
        <v>0</v>
      </c>
      <c r="B75" s="124" t="s">
        <v>193</v>
      </c>
      <c r="C75" s="125">
        <v>0</v>
      </c>
      <c r="D75" s="126">
        <f>(D$25+D$54+D$62)*C75</f>
        <v>0</v>
      </c>
      <c r="E75" s="126">
        <f>(E$25+E$54+E$62)*C75</f>
        <v>0</v>
      </c>
      <c r="F75" s="126">
        <f>(F$25+F$54+F$62)*C75</f>
        <v>0</v>
      </c>
      <c r="G75" s="127">
        <f>(G$25+G$54+G$62)*C75</f>
        <v>0</v>
      </c>
    </row>
    <row r="76" spans="1:7" s="30" customFormat="1" ht="15.75" customHeight="1" x14ac:dyDescent="0.25">
      <c r="A76" s="342" t="s">
        <v>27</v>
      </c>
      <c r="B76" s="343"/>
      <c r="C76" s="156">
        <f>C75</f>
        <v>0</v>
      </c>
      <c r="D76" s="63">
        <f>D75</f>
        <v>0</v>
      </c>
      <c r="E76" s="63">
        <f>E75</f>
        <v>0</v>
      </c>
      <c r="F76" s="63">
        <f>F75</f>
        <v>0</v>
      </c>
      <c r="G76" s="64">
        <f>G75</f>
        <v>0</v>
      </c>
    </row>
    <row r="77" spans="1:7" s="30" customFormat="1" ht="15.75" customHeight="1" x14ac:dyDescent="0.25">
      <c r="A77" s="346" t="s">
        <v>30</v>
      </c>
      <c r="B77" s="347"/>
      <c r="C77" s="347"/>
      <c r="D77" s="136"/>
      <c r="E77" s="136"/>
      <c r="F77" s="136"/>
      <c r="G77" s="137"/>
    </row>
    <row r="78" spans="1:7" s="30" customFormat="1" ht="15.75" customHeight="1" x14ac:dyDescent="0.25">
      <c r="A78" s="390" t="s">
        <v>194</v>
      </c>
      <c r="B78" s="391"/>
      <c r="C78" s="391"/>
      <c r="D78" s="157"/>
      <c r="E78" s="157"/>
      <c r="F78" s="157"/>
      <c r="G78" s="158"/>
    </row>
    <row r="79" spans="1:7" s="30" customFormat="1" ht="15.75" customHeight="1" x14ac:dyDescent="0.25">
      <c r="A79" s="257">
        <v>4</v>
      </c>
      <c r="B79" s="356" t="s">
        <v>31</v>
      </c>
      <c r="C79" s="357"/>
      <c r="D79" s="121" t="s">
        <v>10</v>
      </c>
      <c r="E79" s="121" t="s">
        <v>10</v>
      </c>
      <c r="F79" s="121" t="s">
        <v>10</v>
      </c>
      <c r="G79" s="122" t="s">
        <v>10</v>
      </c>
    </row>
    <row r="80" spans="1:7" s="30" customFormat="1" ht="15.75" customHeight="1" x14ac:dyDescent="0.25">
      <c r="A80" s="123" t="s">
        <v>190</v>
      </c>
      <c r="B80" s="256" t="s">
        <v>189</v>
      </c>
      <c r="C80" s="125">
        <f>C72</f>
        <v>2.7799999999999998E-2</v>
      </c>
      <c r="D80" s="126">
        <f>D72</f>
        <v>240</v>
      </c>
      <c r="E80" s="126">
        <f>E72</f>
        <v>240</v>
      </c>
      <c r="F80" s="126">
        <f>F72</f>
        <v>240</v>
      </c>
      <c r="G80" s="127">
        <f>G72</f>
        <v>240</v>
      </c>
    </row>
    <row r="81" spans="1:7" s="30" customFormat="1" ht="15.75" customHeight="1" x14ac:dyDescent="0.25">
      <c r="A81" s="123" t="s">
        <v>206</v>
      </c>
      <c r="B81" s="256" t="s">
        <v>192</v>
      </c>
      <c r="C81" s="125">
        <v>0</v>
      </c>
      <c r="D81" s="126">
        <f>(D$25+D$54+D$62)*C81</f>
        <v>0</v>
      </c>
      <c r="E81" s="126">
        <f>(E$25+E$54+E$62)*C81</f>
        <v>0</v>
      </c>
      <c r="F81" s="126">
        <f>(F$25+F$54+F$62)*C81</f>
        <v>0</v>
      </c>
      <c r="G81" s="127">
        <f>(G$25+G$54+G$62)*C81</f>
        <v>0</v>
      </c>
    </row>
    <row r="82" spans="1:7" s="30" customFormat="1" ht="15.75" customHeight="1" x14ac:dyDescent="0.25">
      <c r="A82" s="342" t="s">
        <v>27</v>
      </c>
      <c r="B82" s="343"/>
      <c r="C82" s="128">
        <f>SUM(C80:C81)</f>
        <v>2.7799999999999998E-2</v>
      </c>
      <c r="D82" s="63">
        <f>SUM(D80:D81)</f>
        <v>240</v>
      </c>
      <c r="E82" s="63">
        <f>SUM(E80:E81)</f>
        <v>240</v>
      </c>
      <c r="F82" s="63">
        <f>SUM(F80:F81)</f>
        <v>240</v>
      </c>
      <c r="G82" s="64">
        <f>SUM(G80:G81)</f>
        <v>240</v>
      </c>
    </row>
    <row r="83" spans="1:7" s="30" customFormat="1" ht="15.75" customHeight="1" x14ac:dyDescent="0.25">
      <c r="A83" s="344" t="s">
        <v>148</v>
      </c>
      <c r="B83" s="345"/>
      <c r="C83" s="345"/>
      <c r="D83" s="117">
        <f>SUM(D76+D82)</f>
        <v>240</v>
      </c>
      <c r="E83" s="117">
        <f>SUM(E76+E82)</f>
        <v>240</v>
      </c>
      <c r="F83" s="117">
        <f>SUM(F76+F82)</f>
        <v>240</v>
      </c>
      <c r="G83" s="118">
        <f>SUM(G76+G82)</f>
        <v>240</v>
      </c>
    </row>
    <row r="84" spans="1:7" s="30" customFormat="1" ht="15.75" customHeight="1" x14ac:dyDescent="0.25">
      <c r="A84" s="365" t="s">
        <v>156</v>
      </c>
      <c r="B84" s="366"/>
      <c r="C84" s="366"/>
      <c r="D84" s="119"/>
      <c r="E84" s="119"/>
      <c r="F84" s="119"/>
      <c r="G84" s="120"/>
    </row>
    <row r="85" spans="1:7" s="30" customFormat="1" ht="15.75" customHeight="1" x14ac:dyDescent="0.25">
      <c r="A85" s="257">
        <v>5</v>
      </c>
      <c r="B85" s="356" t="s">
        <v>24</v>
      </c>
      <c r="C85" s="357"/>
      <c r="D85" s="121" t="s">
        <v>10</v>
      </c>
      <c r="E85" s="121" t="s">
        <v>10</v>
      </c>
      <c r="F85" s="121" t="s">
        <v>10</v>
      </c>
      <c r="G85" s="122" t="s">
        <v>10</v>
      </c>
    </row>
    <row r="86" spans="1:7" s="30" customFormat="1" ht="15.75" customHeight="1" x14ac:dyDescent="0.25">
      <c r="A86" s="146" t="s">
        <v>0</v>
      </c>
      <c r="B86" s="378" t="s">
        <v>207</v>
      </c>
      <c r="C86" s="378"/>
      <c r="D86" s="126">
        <f>Uniformes!H7</f>
        <v>33.93</v>
      </c>
      <c r="E86" s="126">
        <f>Uniformes!H7</f>
        <v>33.93</v>
      </c>
      <c r="F86" s="126">
        <f>Uniformes!H7</f>
        <v>33.93</v>
      </c>
      <c r="G86" s="127">
        <f>Uniformes!H7</f>
        <v>33.93</v>
      </c>
    </row>
    <row r="87" spans="1:7" s="30" customFormat="1" ht="15.75" customHeight="1" x14ac:dyDescent="0.25">
      <c r="A87" s="146" t="s">
        <v>2</v>
      </c>
      <c r="B87" s="378" t="s">
        <v>208</v>
      </c>
      <c r="C87" s="378"/>
      <c r="D87" s="126">
        <f>Materiais!H18</f>
        <v>58.98</v>
      </c>
      <c r="E87" s="126">
        <f>Materiais!H19</f>
        <v>40.090000000000003</v>
      </c>
      <c r="F87" s="126">
        <f>Materiais!H20</f>
        <v>58.98</v>
      </c>
      <c r="G87" s="127">
        <f>Materiais!H21</f>
        <v>40.090000000000003</v>
      </c>
    </row>
    <row r="88" spans="1:7" s="30" customFormat="1" ht="15.75" customHeight="1" x14ac:dyDescent="0.25">
      <c r="A88" s="146" t="s">
        <v>3</v>
      </c>
      <c r="B88" s="378" t="s">
        <v>178</v>
      </c>
      <c r="C88" s="378"/>
      <c r="D88" s="76">
        <f>Equipamentos!H18</f>
        <v>1107.97</v>
      </c>
      <c r="E88" s="76">
        <f>Equipamentos!H19</f>
        <v>765.63</v>
      </c>
      <c r="F88" s="76">
        <f>Equipamentos!H20</f>
        <v>1107.97</v>
      </c>
      <c r="G88" s="148">
        <f>Equipamentos!H21</f>
        <v>765.63</v>
      </c>
    </row>
    <row r="89" spans="1:7" s="30" customFormat="1" ht="15.75" customHeight="1" x14ac:dyDescent="0.25">
      <c r="A89" s="146" t="s">
        <v>5</v>
      </c>
      <c r="B89" s="378" t="s">
        <v>132</v>
      </c>
      <c r="C89" s="378"/>
      <c r="D89" s="126">
        <v>0</v>
      </c>
      <c r="E89" s="126">
        <v>0</v>
      </c>
      <c r="F89" s="126">
        <v>0</v>
      </c>
      <c r="G89" s="127">
        <v>0</v>
      </c>
    </row>
    <row r="90" spans="1:7" s="30" customFormat="1" ht="15.75" customHeight="1" x14ac:dyDescent="0.25">
      <c r="A90" s="344" t="s">
        <v>149</v>
      </c>
      <c r="B90" s="345"/>
      <c r="C90" s="345"/>
      <c r="D90" s="117">
        <f>SUM(D86:D89)</f>
        <v>1200.8800000000001</v>
      </c>
      <c r="E90" s="117">
        <f>SUM(E86:E89)</f>
        <v>839.65</v>
      </c>
      <c r="F90" s="117">
        <f>SUM(F86:F89)</f>
        <v>1200.8800000000001</v>
      </c>
      <c r="G90" s="118">
        <f>SUM(G86:G89)</f>
        <v>839.65</v>
      </c>
    </row>
    <row r="91" spans="1:7" s="30" customFormat="1" ht="30" customHeight="1" x14ac:dyDescent="0.25">
      <c r="A91" s="348" t="s">
        <v>210</v>
      </c>
      <c r="B91" s="349"/>
      <c r="C91" s="349"/>
      <c r="D91" s="159">
        <f>D90+D83+D62+D54+D25</f>
        <v>10040.14</v>
      </c>
      <c r="E91" s="159">
        <f>E90+E83+E62+E54+E25</f>
        <v>9678.91</v>
      </c>
      <c r="F91" s="159">
        <f>F90+F83+F62+F54+F25</f>
        <v>10040.14</v>
      </c>
      <c r="G91" s="160">
        <f>G90+G83+G62+G54+G25</f>
        <v>9678.91</v>
      </c>
    </row>
    <row r="92" spans="1:7" s="30" customFormat="1" ht="19.5" customHeight="1" x14ac:dyDescent="0.25">
      <c r="A92" s="365" t="s">
        <v>157</v>
      </c>
      <c r="B92" s="366"/>
      <c r="C92" s="366"/>
      <c r="D92" s="119"/>
      <c r="E92" s="119"/>
      <c r="F92" s="119"/>
      <c r="G92" s="120"/>
    </row>
    <row r="93" spans="1:7" s="30" customFormat="1" x14ac:dyDescent="0.25">
      <c r="A93" s="257">
        <v>6</v>
      </c>
      <c r="B93" s="356" t="s">
        <v>38</v>
      </c>
      <c r="C93" s="372"/>
      <c r="D93" s="121" t="s">
        <v>10</v>
      </c>
      <c r="E93" s="121" t="s">
        <v>10</v>
      </c>
      <c r="F93" s="121" t="s">
        <v>10</v>
      </c>
      <c r="G93" s="122" t="s">
        <v>10</v>
      </c>
    </row>
    <row r="94" spans="1:7" s="30" customFormat="1" x14ac:dyDescent="0.25">
      <c r="A94" s="123" t="s">
        <v>0</v>
      </c>
      <c r="B94" s="124" t="s">
        <v>39</v>
      </c>
      <c r="C94" s="161">
        <v>0.05</v>
      </c>
      <c r="D94" s="126">
        <f>+D91*C94</f>
        <v>502.01</v>
      </c>
      <c r="E94" s="126">
        <f>+E91*C94</f>
        <v>483.95</v>
      </c>
      <c r="F94" s="126">
        <f>+F91*C94</f>
        <v>502.01</v>
      </c>
      <c r="G94" s="127">
        <f>+G91*C94</f>
        <v>483.95</v>
      </c>
    </row>
    <row r="95" spans="1:7" s="30" customFormat="1" x14ac:dyDescent="0.25">
      <c r="A95" s="123" t="s">
        <v>2</v>
      </c>
      <c r="B95" s="124" t="s">
        <v>40</v>
      </c>
      <c r="C95" s="161">
        <v>0.1</v>
      </c>
      <c r="D95" s="126">
        <f>C95*(+D91+D94)</f>
        <v>1054.22</v>
      </c>
      <c r="E95" s="126">
        <f>C95*(+E91+E94)</f>
        <v>1016.29</v>
      </c>
      <c r="F95" s="126">
        <f>C95*(+F91+F94)</f>
        <v>1054.22</v>
      </c>
      <c r="G95" s="127">
        <f>C95*(+G91+G94)</f>
        <v>1016.29</v>
      </c>
    </row>
    <row r="96" spans="1:7" s="30" customFormat="1" ht="30" x14ac:dyDescent="0.25">
      <c r="A96" s="123"/>
      <c r="B96" s="124" t="s">
        <v>47</v>
      </c>
      <c r="C96" s="125">
        <f>1-C103</f>
        <v>0.85750000000000004</v>
      </c>
      <c r="D96" s="126">
        <f>+D91+D94+D95</f>
        <v>11596.37</v>
      </c>
      <c r="E96" s="126">
        <f>+E91+E94+E95</f>
        <v>11179.15</v>
      </c>
      <c r="F96" s="126">
        <f>+F91+F94+F95</f>
        <v>11596.37</v>
      </c>
      <c r="G96" s="127">
        <f>+G91+G94+G95</f>
        <v>11179.15</v>
      </c>
    </row>
    <row r="97" spans="1:7" s="30" customFormat="1" x14ac:dyDescent="0.25">
      <c r="A97" s="123"/>
      <c r="B97" s="256"/>
      <c r="C97" s="40"/>
      <c r="D97" s="162">
        <f>+D96/C96</f>
        <v>13523.46</v>
      </c>
      <c r="E97" s="162">
        <f>+E96/C96</f>
        <v>13036.91</v>
      </c>
      <c r="F97" s="162">
        <f>+F96/C96</f>
        <v>13523.46</v>
      </c>
      <c r="G97" s="163">
        <f>+G96/C96</f>
        <v>13036.91</v>
      </c>
    </row>
    <row r="98" spans="1:7" s="30" customFormat="1" x14ac:dyDescent="0.25">
      <c r="A98" s="123" t="s">
        <v>3</v>
      </c>
      <c r="B98" s="256" t="s">
        <v>41</v>
      </c>
      <c r="C98" s="164">
        <f>C100+C101+C102</f>
        <v>0.14249999999999999</v>
      </c>
      <c r="D98" s="162"/>
      <c r="E98" s="162"/>
      <c r="F98" s="162"/>
      <c r="G98" s="163"/>
    </row>
    <row r="99" spans="1:7" s="30" customFormat="1" x14ac:dyDescent="0.25">
      <c r="A99" s="123" t="s">
        <v>292</v>
      </c>
      <c r="B99" s="256" t="s">
        <v>288</v>
      </c>
      <c r="C99" s="164">
        <f>C100+C101</f>
        <v>9.2499999999999999E-2</v>
      </c>
      <c r="D99" s="126"/>
      <c r="E99" s="126"/>
      <c r="F99" s="126"/>
      <c r="G99" s="127"/>
    </row>
    <row r="100" spans="1:7" s="30" customFormat="1" x14ac:dyDescent="0.25">
      <c r="A100" s="123" t="s">
        <v>293</v>
      </c>
      <c r="B100" s="124" t="s">
        <v>289</v>
      </c>
      <c r="C100" s="125">
        <v>1.6500000000000001E-2</v>
      </c>
      <c r="D100" s="126">
        <f>+D97*C100</f>
        <v>223.14</v>
      </c>
      <c r="E100" s="126">
        <f>+E97*C100</f>
        <v>215.11</v>
      </c>
      <c r="F100" s="126">
        <f>+F97*C100</f>
        <v>223.14</v>
      </c>
      <c r="G100" s="127">
        <f>+G97*C100</f>
        <v>215.11</v>
      </c>
    </row>
    <row r="101" spans="1:7" s="30" customFormat="1" x14ac:dyDescent="0.25">
      <c r="A101" s="123" t="s">
        <v>294</v>
      </c>
      <c r="B101" s="124" t="s">
        <v>290</v>
      </c>
      <c r="C101" s="125">
        <v>7.5999999999999998E-2</v>
      </c>
      <c r="D101" s="126">
        <f>+D97*C101</f>
        <v>1027.78</v>
      </c>
      <c r="E101" s="126">
        <f>+E97*C101</f>
        <v>990.81</v>
      </c>
      <c r="F101" s="126">
        <f>+F97*C101</f>
        <v>1027.78</v>
      </c>
      <c r="G101" s="127">
        <f>+G97*C101</f>
        <v>990.81</v>
      </c>
    </row>
    <row r="102" spans="1:7" s="30" customFormat="1" x14ac:dyDescent="0.25">
      <c r="A102" s="123" t="s">
        <v>295</v>
      </c>
      <c r="B102" s="124" t="s">
        <v>291</v>
      </c>
      <c r="C102" s="125">
        <v>0.05</v>
      </c>
      <c r="D102" s="126">
        <f>+D97*C102</f>
        <v>676.17</v>
      </c>
      <c r="E102" s="126">
        <f>+E97*C102</f>
        <v>651.85</v>
      </c>
      <c r="F102" s="126">
        <f>+F97*C102</f>
        <v>676.17</v>
      </c>
      <c r="G102" s="127">
        <f>+G97*C102</f>
        <v>651.85</v>
      </c>
    </row>
    <row r="103" spans="1:7" s="30" customFormat="1" x14ac:dyDescent="0.25">
      <c r="A103" s="257"/>
      <c r="B103" s="157" t="s">
        <v>42</v>
      </c>
      <c r="C103" s="165">
        <f>C98</f>
        <v>0.14249999999999999</v>
      </c>
      <c r="D103" s="166">
        <f>SUM(D100:D102)</f>
        <v>1927.09</v>
      </c>
      <c r="E103" s="166">
        <f>SUM(E100:E102)</f>
        <v>1857.77</v>
      </c>
      <c r="F103" s="166">
        <f>SUM(F100:F102)</f>
        <v>1927.09</v>
      </c>
      <c r="G103" s="167">
        <f>SUM(G100:G102)</f>
        <v>1857.77</v>
      </c>
    </row>
    <row r="104" spans="1:7" s="30" customFormat="1" ht="15.75" customHeight="1" x14ac:dyDescent="0.25">
      <c r="A104" s="342" t="s">
        <v>43</v>
      </c>
      <c r="B104" s="343"/>
      <c r="C104" s="343"/>
      <c r="D104" s="63">
        <f>+D94+D95+D103</f>
        <v>3483.32</v>
      </c>
      <c r="E104" s="63">
        <f>+E94+E95+E103</f>
        <v>3358.01</v>
      </c>
      <c r="F104" s="63">
        <f>+F94+F95+F103</f>
        <v>3483.32</v>
      </c>
      <c r="G104" s="64">
        <f>+G94+G95+G103</f>
        <v>3358.01</v>
      </c>
    </row>
    <row r="105" spans="1:7" s="30" customFormat="1" ht="15.75" customHeight="1" x14ac:dyDescent="0.25">
      <c r="A105" s="388" t="s">
        <v>44</v>
      </c>
      <c r="B105" s="389"/>
      <c r="C105" s="389"/>
      <c r="D105" s="168" t="s">
        <v>10</v>
      </c>
      <c r="E105" s="168" t="s">
        <v>10</v>
      </c>
      <c r="F105" s="168" t="s">
        <v>10</v>
      </c>
      <c r="G105" s="169" t="s">
        <v>10</v>
      </c>
    </row>
    <row r="106" spans="1:7" s="30" customFormat="1" x14ac:dyDescent="0.25">
      <c r="A106" s="123" t="s">
        <v>0</v>
      </c>
      <c r="B106" s="362" t="s">
        <v>45</v>
      </c>
      <c r="C106" s="362"/>
      <c r="D106" s="126">
        <f>+D25</f>
        <v>4561.6000000000004</v>
      </c>
      <c r="E106" s="126">
        <f>+E25</f>
        <v>4561.6000000000004</v>
      </c>
      <c r="F106" s="126">
        <f>+F25</f>
        <v>4561.6000000000004</v>
      </c>
      <c r="G106" s="127">
        <f>+G25</f>
        <v>4561.6000000000004</v>
      </c>
    </row>
    <row r="107" spans="1:7" s="30" customFormat="1" x14ac:dyDescent="0.25">
      <c r="A107" s="123" t="s">
        <v>2</v>
      </c>
      <c r="B107" s="362" t="s">
        <v>152</v>
      </c>
      <c r="C107" s="362"/>
      <c r="D107" s="126">
        <f>+D54</f>
        <v>3708.78</v>
      </c>
      <c r="E107" s="126">
        <f>+E54</f>
        <v>3708.78</v>
      </c>
      <c r="F107" s="126">
        <f>+F54</f>
        <v>3708.78</v>
      </c>
      <c r="G107" s="127">
        <f>+G54</f>
        <v>3708.78</v>
      </c>
    </row>
    <row r="108" spans="1:7" s="30" customFormat="1" x14ac:dyDescent="0.25">
      <c r="A108" s="123" t="s">
        <v>3</v>
      </c>
      <c r="B108" s="362" t="s">
        <v>150</v>
      </c>
      <c r="C108" s="362"/>
      <c r="D108" s="126">
        <f>D62</f>
        <v>328.88</v>
      </c>
      <c r="E108" s="126">
        <f>E62</f>
        <v>328.88</v>
      </c>
      <c r="F108" s="126">
        <f>F62</f>
        <v>328.88</v>
      </c>
      <c r="G108" s="127">
        <f>G62</f>
        <v>328.88</v>
      </c>
    </row>
    <row r="109" spans="1:7" s="30" customFormat="1" x14ac:dyDescent="0.25">
      <c r="A109" s="123" t="s">
        <v>5</v>
      </c>
      <c r="B109" s="362" t="s">
        <v>143</v>
      </c>
      <c r="C109" s="362"/>
      <c r="D109" s="126">
        <f>D83</f>
        <v>240</v>
      </c>
      <c r="E109" s="126">
        <f>E83</f>
        <v>240</v>
      </c>
      <c r="F109" s="126">
        <f>F83</f>
        <v>240</v>
      </c>
      <c r="G109" s="127">
        <f>G83</f>
        <v>240</v>
      </c>
    </row>
    <row r="110" spans="1:7" s="30" customFormat="1" x14ac:dyDescent="0.25">
      <c r="A110" s="123" t="s">
        <v>20</v>
      </c>
      <c r="B110" s="362" t="s">
        <v>151</v>
      </c>
      <c r="C110" s="362"/>
      <c r="D110" s="126">
        <f>D90</f>
        <v>1200.8800000000001</v>
      </c>
      <c r="E110" s="126">
        <f>E90</f>
        <v>839.65</v>
      </c>
      <c r="F110" s="126">
        <f>F90</f>
        <v>1200.8800000000001</v>
      </c>
      <c r="G110" s="127">
        <f>G90</f>
        <v>839.65</v>
      </c>
    </row>
    <row r="111" spans="1:7" s="30" customFormat="1" ht="15.75" customHeight="1" x14ac:dyDescent="0.25">
      <c r="A111" s="363" t="s">
        <v>296</v>
      </c>
      <c r="B111" s="364"/>
      <c r="C111" s="364"/>
      <c r="D111" s="166">
        <f>SUM(D106:D110)</f>
        <v>10040.14</v>
      </c>
      <c r="E111" s="166">
        <f>SUM(E106:E110)</f>
        <v>9678.91</v>
      </c>
      <c r="F111" s="166">
        <f>SUM(F106:F110)</f>
        <v>10040.14</v>
      </c>
      <c r="G111" s="167">
        <f>SUM(G106:G110)</f>
        <v>9678.91</v>
      </c>
    </row>
    <row r="112" spans="1:7" s="30" customFormat="1" x14ac:dyDescent="0.25">
      <c r="A112" s="123" t="s">
        <v>21</v>
      </c>
      <c r="B112" s="362" t="s">
        <v>153</v>
      </c>
      <c r="C112" s="362"/>
      <c r="D112" s="126">
        <f>+D104</f>
        <v>3483.32</v>
      </c>
      <c r="E112" s="126">
        <f>+E104</f>
        <v>3358.01</v>
      </c>
      <c r="F112" s="126">
        <f>+F104</f>
        <v>3483.32</v>
      </c>
      <c r="G112" s="127">
        <f>+G104</f>
        <v>3358.01</v>
      </c>
    </row>
    <row r="113" spans="1:7" s="30" customFormat="1" ht="16.5" customHeight="1" thickBot="1" x14ac:dyDescent="0.3">
      <c r="A113" s="370" t="s">
        <v>46</v>
      </c>
      <c r="B113" s="371"/>
      <c r="C113" s="371"/>
      <c r="D113" s="170">
        <f>+D111+D112</f>
        <v>13523.46</v>
      </c>
      <c r="E113" s="170">
        <f>+E111+E112</f>
        <v>13036.92</v>
      </c>
      <c r="F113" s="170">
        <f>+F111+F112</f>
        <v>13523.46</v>
      </c>
      <c r="G113" s="171">
        <f>+G111+G112</f>
        <v>13036.92</v>
      </c>
    </row>
    <row r="114" spans="1:7" x14ac:dyDescent="0.25">
      <c r="C114" s="31"/>
      <c r="D114" s="31"/>
      <c r="E114" s="31"/>
      <c r="F114" s="31"/>
      <c r="G114" s="33"/>
    </row>
    <row r="115" spans="1:7" x14ac:dyDescent="0.25">
      <c r="B115" s="28"/>
      <c r="C115" s="31"/>
      <c r="D115" s="31"/>
      <c r="E115" s="31"/>
      <c r="F115" s="31"/>
      <c r="G115" s="34"/>
    </row>
    <row r="116" spans="1:7" x14ac:dyDescent="0.25">
      <c r="B116" s="28"/>
      <c r="C116" s="31"/>
      <c r="D116" s="31"/>
      <c r="E116" s="31"/>
      <c r="F116" s="31"/>
      <c r="G116" s="34" t="s">
        <v>126</v>
      </c>
    </row>
    <row r="117" spans="1:7" x14ac:dyDescent="0.25">
      <c r="B117" s="28"/>
      <c r="C117" s="359"/>
      <c r="D117" s="359"/>
      <c r="E117" s="359"/>
      <c r="F117" s="359"/>
      <c r="G117" s="359"/>
    </row>
    <row r="118" spans="1:7" x14ac:dyDescent="0.25">
      <c r="B118" s="28"/>
      <c r="C118" s="31"/>
      <c r="D118" s="31"/>
      <c r="E118" s="31"/>
      <c r="F118" s="31"/>
      <c r="G118" s="35"/>
    </row>
    <row r="120" spans="1:7" x14ac:dyDescent="0.25">
      <c r="B120" s="36"/>
    </row>
    <row r="125" spans="1:7" x14ac:dyDescent="0.25">
      <c r="B125" s="28"/>
    </row>
  </sheetData>
  <mergeCells count="68">
    <mergeCell ref="A31:G31"/>
    <mergeCell ref="C6:G6"/>
    <mergeCell ref="C7:G7"/>
    <mergeCell ref="A8:G8"/>
    <mergeCell ref="A9:G9"/>
    <mergeCell ref="A10:G10"/>
    <mergeCell ref="B12:C12"/>
    <mergeCell ref="B13:C13"/>
    <mergeCell ref="D12:G12"/>
    <mergeCell ref="D13:G13"/>
    <mergeCell ref="A11:C11"/>
    <mergeCell ref="D11:G11"/>
    <mergeCell ref="D14:G14"/>
    <mergeCell ref="D15:G15"/>
    <mergeCell ref="B27:C27"/>
    <mergeCell ref="A30:B30"/>
    <mergeCell ref="C5:G5"/>
    <mergeCell ref="A1:G1"/>
    <mergeCell ref="A2:G2"/>
    <mergeCell ref="A3:G3"/>
    <mergeCell ref="C4:G4"/>
    <mergeCell ref="A26:C26"/>
    <mergeCell ref="A16:C16"/>
    <mergeCell ref="B17:C17"/>
    <mergeCell ref="A25:C25"/>
    <mergeCell ref="B14:C14"/>
    <mergeCell ref="B15:C15"/>
    <mergeCell ref="B32:C32"/>
    <mergeCell ref="A41:B41"/>
    <mergeCell ref="A49:C49"/>
    <mergeCell ref="B43:C43"/>
    <mergeCell ref="A42:C42"/>
    <mergeCell ref="A50:C50"/>
    <mergeCell ref="B93:C93"/>
    <mergeCell ref="B87:C87"/>
    <mergeCell ref="B88:C88"/>
    <mergeCell ref="B89:C89"/>
    <mergeCell ref="B85:C85"/>
    <mergeCell ref="A90:C90"/>
    <mergeCell ref="A91:C91"/>
    <mergeCell ref="B86:C86"/>
    <mergeCell ref="A83:C83"/>
    <mergeCell ref="A78:C78"/>
    <mergeCell ref="A84:C84"/>
    <mergeCell ref="A92:C92"/>
    <mergeCell ref="A72:B72"/>
    <mergeCell ref="A54:C54"/>
    <mergeCell ref="B56:C56"/>
    <mergeCell ref="C117:G117"/>
    <mergeCell ref="A104:C104"/>
    <mergeCell ref="A105:C105"/>
    <mergeCell ref="B106:C106"/>
    <mergeCell ref="B107:C107"/>
    <mergeCell ref="B108:C108"/>
    <mergeCell ref="A111:C111"/>
    <mergeCell ref="B112:C112"/>
    <mergeCell ref="A113:C113"/>
    <mergeCell ref="B109:C109"/>
    <mergeCell ref="B110:C110"/>
    <mergeCell ref="A82:B82"/>
    <mergeCell ref="A77:C77"/>
    <mergeCell ref="B64:C64"/>
    <mergeCell ref="A55:C55"/>
    <mergeCell ref="A63:C63"/>
    <mergeCell ref="B74:C74"/>
    <mergeCell ref="A76:B76"/>
    <mergeCell ref="B79:C79"/>
    <mergeCell ref="A62:B62"/>
  </mergeCells>
  <hyperlinks>
    <hyperlink ref="B38" r:id="rId1" display="08 - Sebrae 0,3% ou 0,6% - IN nº 03, MPS/SRP/2005, Anexo II e III ver código da Tabela" xr:uid="{00000000-0004-0000-0400-000000000000}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125"/>
  <sheetViews>
    <sheetView view="pageBreakPreview" topLeftCell="A91" zoomScaleNormal="115" zoomScaleSheetLayoutView="100" workbookViewId="0">
      <selection activeCell="D48" sqref="D48:E48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4" width="15.7109375" style="32" customWidth="1"/>
    <col min="5" max="5" width="15.7109375" style="37" customWidth="1"/>
    <col min="6" max="16384" width="9.140625" style="28"/>
  </cols>
  <sheetData>
    <row r="1" spans="1:5" x14ac:dyDescent="0.25">
      <c r="A1" s="331"/>
      <c r="B1" s="332"/>
      <c r="C1" s="332"/>
      <c r="D1" s="332"/>
      <c r="E1" s="333"/>
    </row>
    <row r="2" spans="1:5" s="38" customFormat="1" ht="16.5" customHeight="1" x14ac:dyDescent="0.25">
      <c r="A2" s="367" t="s">
        <v>127</v>
      </c>
      <c r="B2" s="368"/>
      <c r="C2" s="368"/>
      <c r="D2" s="368"/>
      <c r="E2" s="369"/>
    </row>
    <row r="3" spans="1:5" s="38" customFormat="1" x14ac:dyDescent="0.25">
      <c r="A3" s="325" t="s">
        <v>126</v>
      </c>
      <c r="B3" s="326"/>
      <c r="C3" s="326"/>
      <c r="D3" s="326"/>
      <c r="E3" s="327"/>
    </row>
    <row r="4" spans="1:5" s="38" customFormat="1" ht="15" customHeight="1" x14ac:dyDescent="0.25">
      <c r="A4" s="74" t="s">
        <v>0</v>
      </c>
      <c r="B4" s="102" t="s">
        <v>1</v>
      </c>
      <c r="C4" s="334">
        <v>2025</v>
      </c>
      <c r="D4" s="334"/>
      <c r="E4" s="335"/>
    </row>
    <row r="5" spans="1:5" s="38" customFormat="1" ht="75" customHeight="1" x14ac:dyDescent="0.25">
      <c r="A5" s="74" t="s">
        <v>2</v>
      </c>
      <c r="B5" s="102" t="s">
        <v>135</v>
      </c>
      <c r="C5" s="336" t="s">
        <v>242</v>
      </c>
      <c r="D5" s="336"/>
      <c r="E5" s="337"/>
    </row>
    <row r="6" spans="1:5" s="38" customFormat="1" ht="15.75" customHeight="1" x14ac:dyDescent="0.25">
      <c r="A6" s="74" t="s">
        <v>3</v>
      </c>
      <c r="B6" s="102" t="s">
        <v>4</v>
      </c>
      <c r="C6" s="336" t="s">
        <v>297</v>
      </c>
      <c r="D6" s="336"/>
      <c r="E6" s="337"/>
    </row>
    <row r="7" spans="1:5" s="38" customFormat="1" x14ac:dyDescent="0.25">
      <c r="A7" s="74" t="s">
        <v>5</v>
      </c>
      <c r="B7" s="102" t="s">
        <v>300</v>
      </c>
      <c r="C7" s="336">
        <v>12</v>
      </c>
      <c r="D7" s="336"/>
      <c r="E7" s="337"/>
    </row>
    <row r="8" spans="1:5" s="38" customFormat="1" x14ac:dyDescent="0.25">
      <c r="A8" s="325" t="s">
        <v>6</v>
      </c>
      <c r="B8" s="326"/>
      <c r="C8" s="326"/>
      <c r="D8" s="326"/>
      <c r="E8" s="327"/>
    </row>
    <row r="9" spans="1:5" s="38" customFormat="1" x14ac:dyDescent="0.25">
      <c r="A9" s="325" t="s">
        <v>7</v>
      </c>
      <c r="B9" s="326"/>
      <c r="C9" s="326"/>
      <c r="D9" s="326"/>
      <c r="E9" s="327"/>
    </row>
    <row r="10" spans="1:5" s="38" customFormat="1" ht="15.75" customHeight="1" x14ac:dyDescent="0.25">
      <c r="A10" s="325" t="s">
        <v>8</v>
      </c>
      <c r="B10" s="326"/>
      <c r="C10" s="326"/>
      <c r="D10" s="326"/>
      <c r="E10" s="327"/>
    </row>
    <row r="11" spans="1:5" s="38" customFormat="1" ht="30" customHeight="1" x14ac:dyDescent="0.25">
      <c r="A11" s="328" t="s">
        <v>9</v>
      </c>
      <c r="B11" s="329"/>
      <c r="C11" s="329"/>
      <c r="D11" s="394" t="s">
        <v>10</v>
      </c>
      <c r="E11" s="395"/>
    </row>
    <row r="12" spans="1:5" s="38" customFormat="1" ht="60" customHeight="1" x14ac:dyDescent="0.25">
      <c r="A12" s="74">
        <v>1</v>
      </c>
      <c r="B12" s="247" t="s">
        <v>128</v>
      </c>
      <c r="C12" s="381" t="s">
        <v>243</v>
      </c>
      <c r="D12" s="381"/>
      <c r="E12" s="382"/>
    </row>
    <row r="13" spans="1:5" s="38" customFormat="1" ht="30" customHeight="1" x14ac:dyDescent="0.25">
      <c r="A13" s="74">
        <v>2</v>
      </c>
      <c r="B13" s="247" t="s">
        <v>11</v>
      </c>
      <c r="C13" s="392">
        <v>3325</v>
      </c>
      <c r="D13" s="392"/>
      <c r="E13" s="393"/>
    </row>
    <row r="14" spans="1:5" s="38" customFormat="1" ht="15.75" customHeight="1" x14ac:dyDescent="0.25">
      <c r="A14" s="74">
        <v>3</v>
      </c>
      <c r="B14" s="247" t="s">
        <v>12</v>
      </c>
      <c r="C14" s="381" t="s">
        <v>221</v>
      </c>
      <c r="D14" s="381"/>
      <c r="E14" s="382"/>
    </row>
    <row r="15" spans="1:5" s="38" customFormat="1" x14ac:dyDescent="0.25">
      <c r="A15" s="74">
        <v>4</v>
      </c>
      <c r="B15" s="248" t="s">
        <v>13</v>
      </c>
      <c r="C15" s="383">
        <v>2025</v>
      </c>
      <c r="D15" s="383"/>
      <c r="E15" s="384"/>
    </row>
    <row r="16" spans="1:5" s="39" customFormat="1" ht="30" x14ac:dyDescent="0.25">
      <c r="A16" s="346" t="s">
        <v>14</v>
      </c>
      <c r="B16" s="347"/>
      <c r="C16" s="347"/>
      <c r="D16" s="252" t="s">
        <v>248</v>
      </c>
      <c r="E16" s="264" t="s">
        <v>247</v>
      </c>
    </row>
    <row r="17" spans="1:5" s="39" customFormat="1" x14ac:dyDescent="0.25">
      <c r="A17" s="259">
        <v>1</v>
      </c>
      <c r="B17" s="354" t="s">
        <v>15</v>
      </c>
      <c r="C17" s="354"/>
      <c r="D17" s="103" t="s">
        <v>10</v>
      </c>
      <c r="E17" s="104" t="s">
        <v>10</v>
      </c>
    </row>
    <row r="18" spans="1:5" s="38" customFormat="1" ht="15.75" customHeight="1" x14ac:dyDescent="0.25">
      <c r="A18" s="105" t="s">
        <v>0</v>
      </c>
      <c r="B18" s="106" t="s">
        <v>16</v>
      </c>
      <c r="C18" s="248"/>
      <c r="D18" s="76">
        <f>C13</f>
        <v>3325</v>
      </c>
      <c r="E18" s="148">
        <f>C13</f>
        <v>3325</v>
      </c>
    </row>
    <row r="19" spans="1:5" s="38" customFormat="1" ht="15.75" customHeight="1" x14ac:dyDescent="0.25">
      <c r="A19" s="105" t="s">
        <v>2</v>
      </c>
      <c r="B19" s="106" t="s">
        <v>17</v>
      </c>
      <c r="C19" s="114"/>
      <c r="D19" s="112"/>
      <c r="E19" s="113"/>
    </row>
    <row r="20" spans="1:5" s="38" customFormat="1" ht="15.75" customHeight="1" x14ac:dyDescent="0.25">
      <c r="A20" s="105" t="s">
        <v>3</v>
      </c>
      <c r="B20" s="106" t="s">
        <v>18</v>
      </c>
      <c r="C20" s="111">
        <v>1518</v>
      </c>
      <c r="D20" s="112">
        <f>40%*C20</f>
        <v>607.20000000000005</v>
      </c>
      <c r="E20" s="113">
        <f>40%*C20</f>
        <v>607.20000000000005</v>
      </c>
    </row>
    <row r="21" spans="1:5" s="38" customFormat="1" ht="15.75" customHeight="1" x14ac:dyDescent="0.25">
      <c r="A21" s="105" t="s">
        <v>5</v>
      </c>
      <c r="B21" s="106" t="s">
        <v>19</v>
      </c>
      <c r="C21" s="114"/>
      <c r="D21" s="112"/>
      <c r="E21" s="113"/>
    </row>
    <row r="22" spans="1:5" s="38" customFormat="1" ht="15.75" customHeight="1" x14ac:dyDescent="0.25">
      <c r="A22" s="105" t="s">
        <v>20</v>
      </c>
      <c r="B22" s="106" t="s">
        <v>195</v>
      </c>
      <c r="C22" s="114"/>
      <c r="D22" s="112"/>
      <c r="E22" s="113"/>
    </row>
    <row r="23" spans="1:5" s="38" customFormat="1" x14ac:dyDescent="0.25">
      <c r="A23" s="105" t="s">
        <v>21</v>
      </c>
      <c r="B23" s="106" t="s">
        <v>133</v>
      </c>
      <c r="C23" s="115"/>
      <c r="D23" s="112"/>
      <c r="E23" s="113"/>
    </row>
    <row r="24" spans="1:5" s="38" customFormat="1" ht="15.75" customHeight="1" x14ac:dyDescent="0.25">
      <c r="A24" s="105" t="s">
        <v>22</v>
      </c>
      <c r="B24" s="116" t="s">
        <v>134</v>
      </c>
      <c r="C24" s="115"/>
      <c r="D24" s="112"/>
      <c r="E24" s="113"/>
    </row>
    <row r="25" spans="1:5" s="39" customFormat="1" ht="15.75" customHeight="1" x14ac:dyDescent="0.25">
      <c r="A25" s="344" t="s">
        <v>145</v>
      </c>
      <c r="B25" s="345"/>
      <c r="C25" s="345"/>
      <c r="D25" s="117">
        <f>SUM(D18:D24)</f>
        <v>3932.2</v>
      </c>
      <c r="E25" s="118">
        <f>SUM(E18:E24)</f>
        <v>3932.2</v>
      </c>
    </row>
    <row r="26" spans="1:5" s="39" customFormat="1" x14ac:dyDescent="0.25">
      <c r="A26" s="365" t="s">
        <v>48</v>
      </c>
      <c r="B26" s="366"/>
      <c r="C26" s="366"/>
      <c r="D26" s="366"/>
      <c r="E26" s="396"/>
    </row>
    <row r="27" spans="1:5" s="38" customFormat="1" x14ac:dyDescent="0.25">
      <c r="A27" s="257" t="s">
        <v>136</v>
      </c>
      <c r="B27" s="356" t="s">
        <v>196</v>
      </c>
      <c r="C27" s="372"/>
      <c r="D27" s="121" t="s">
        <v>10</v>
      </c>
      <c r="E27" s="122" t="s">
        <v>10</v>
      </c>
    </row>
    <row r="28" spans="1:5" s="38" customFormat="1" x14ac:dyDescent="0.25">
      <c r="A28" s="123" t="s">
        <v>0</v>
      </c>
      <c r="B28" s="124" t="s">
        <v>28</v>
      </c>
      <c r="C28" s="125">
        <f>1/12</f>
        <v>8.3299999999999999E-2</v>
      </c>
      <c r="D28" s="126">
        <f>(D25)*C28</f>
        <v>327.55</v>
      </c>
      <c r="E28" s="127">
        <f>(E25)*C28</f>
        <v>327.55</v>
      </c>
    </row>
    <row r="29" spans="1:5" s="38" customFormat="1" x14ac:dyDescent="0.25">
      <c r="A29" s="123" t="s">
        <v>2</v>
      </c>
      <c r="B29" s="124" t="s">
        <v>141</v>
      </c>
      <c r="C29" s="125">
        <v>0.1111</v>
      </c>
      <c r="D29" s="126">
        <f>(D25)*C29</f>
        <v>436.87</v>
      </c>
      <c r="E29" s="127">
        <f>(E25)*C29</f>
        <v>436.87</v>
      </c>
    </row>
    <row r="30" spans="1:5" x14ac:dyDescent="0.25">
      <c r="A30" s="342" t="s">
        <v>27</v>
      </c>
      <c r="B30" s="343"/>
      <c r="C30" s="128">
        <f>SUM(C28:C29)</f>
        <v>0.19439999999999999</v>
      </c>
      <c r="D30" s="63">
        <f>SUM(D28:D29)</f>
        <v>764.42</v>
      </c>
      <c r="E30" s="64">
        <f>SUM(E28:E29)</f>
        <v>764.42</v>
      </c>
    </row>
    <row r="31" spans="1:5" ht="32.25" customHeight="1" x14ac:dyDescent="0.25">
      <c r="A31" s="375" t="s">
        <v>181</v>
      </c>
      <c r="B31" s="376"/>
      <c r="C31" s="376"/>
      <c r="D31" s="376"/>
      <c r="E31" s="377"/>
    </row>
    <row r="32" spans="1:5" x14ac:dyDescent="0.25">
      <c r="A32" s="251" t="s">
        <v>136</v>
      </c>
      <c r="B32" s="373" t="s">
        <v>25</v>
      </c>
      <c r="C32" s="374"/>
      <c r="D32" s="129"/>
      <c r="E32" s="130"/>
    </row>
    <row r="33" spans="1:5" x14ac:dyDescent="0.25">
      <c r="A33" s="123" t="s">
        <v>0</v>
      </c>
      <c r="B33" s="131" t="s">
        <v>301</v>
      </c>
      <c r="C33" s="125">
        <v>0.2</v>
      </c>
      <c r="D33" s="126">
        <f t="shared" ref="D33:D40" si="0">($D$25+D$30)*C33</f>
        <v>939.32</v>
      </c>
      <c r="E33" s="127">
        <f t="shared" ref="E33:E40" si="1">($E$25+E$30)*C33</f>
        <v>939.32</v>
      </c>
    </row>
    <row r="34" spans="1:5" x14ac:dyDescent="0.25">
      <c r="A34" s="123" t="s">
        <v>2</v>
      </c>
      <c r="B34" s="131" t="s">
        <v>302</v>
      </c>
      <c r="C34" s="132">
        <v>2.5000000000000001E-2</v>
      </c>
      <c r="D34" s="126">
        <f t="shared" si="0"/>
        <v>117.42</v>
      </c>
      <c r="E34" s="127">
        <f t="shared" si="1"/>
        <v>117.42</v>
      </c>
    </row>
    <row r="35" spans="1:5" ht="45" x14ac:dyDescent="0.25">
      <c r="A35" s="123" t="s">
        <v>3</v>
      </c>
      <c r="B35" s="250" t="s">
        <v>303</v>
      </c>
      <c r="C35" s="132">
        <v>0.03</v>
      </c>
      <c r="D35" s="126">
        <f t="shared" si="0"/>
        <v>140.9</v>
      </c>
      <c r="E35" s="127">
        <f t="shared" si="1"/>
        <v>140.9</v>
      </c>
    </row>
    <row r="36" spans="1:5" x14ac:dyDescent="0.25">
      <c r="A36" s="123" t="s">
        <v>5</v>
      </c>
      <c r="B36" s="131" t="s">
        <v>304</v>
      </c>
      <c r="C36" s="132">
        <v>1.4999999999999999E-2</v>
      </c>
      <c r="D36" s="126">
        <f t="shared" si="0"/>
        <v>70.45</v>
      </c>
      <c r="E36" s="127">
        <f t="shared" si="1"/>
        <v>70.45</v>
      </c>
    </row>
    <row r="37" spans="1:5" x14ac:dyDescent="0.25">
      <c r="A37" s="123" t="s">
        <v>20</v>
      </c>
      <c r="B37" s="131" t="s">
        <v>305</v>
      </c>
      <c r="C37" s="132">
        <v>0.01</v>
      </c>
      <c r="D37" s="126">
        <f t="shared" si="0"/>
        <v>46.97</v>
      </c>
      <c r="E37" s="127">
        <f t="shared" si="1"/>
        <v>46.97</v>
      </c>
    </row>
    <row r="38" spans="1:5" x14ac:dyDescent="0.25">
      <c r="A38" s="123" t="s">
        <v>21</v>
      </c>
      <c r="B38" s="133" t="s">
        <v>199</v>
      </c>
      <c r="C38" s="132">
        <v>6.0000000000000001E-3</v>
      </c>
      <c r="D38" s="126">
        <f t="shared" si="0"/>
        <v>28.18</v>
      </c>
      <c r="E38" s="127">
        <f t="shared" si="1"/>
        <v>28.18</v>
      </c>
    </row>
    <row r="39" spans="1:5" ht="30" x14ac:dyDescent="0.25">
      <c r="A39" s="123" t="s">
        <v>22</v>
      </c>
      <c r="B39" s="250" t="s">
        <v>306</v>
      </c>
      <c r="C39" s="132">
        <v>2E-3</v>
      </c>
      <c r="D39" s="126">
        <f t="shared" si="0"/>
        <v>9.39</v>
      </c>
      <c r="E39" s="127">
        <f t="shared" si="1"/>
        <v>9.39</v>
      </c>
    </row>
    <row r="40" spans="1:5" x14ac:dyDescent="0.25">
      <c r="A40" s="123" t="s">
        <v>26</v>
      </c>
      <c r="B40" s="134" t="s">
        <v>198</v>
      </c>
      <c r="C40" s="132">
        <v>0.08</v>
      </c>
      <c r="D40" s="126">
        <f t="shared" si="0"/>
        <v>375.73</v>
      </c>
      <c r="E40" s="127">
        <f t="shared" si="1"/>
        <v>375.73</v>
      </c>
    </row>
    <row r="41" spans="1:5" s="30" customFormat="1" x14ac:dyDescent="0.25">
      <c r="A41" s="342" t="s">
        <v>27</v>
      </c>
      <c r="B41" s="343"/>
      <c r="C41" s="135">
        <f>SUM(C33:C40)</f>
        <v>0.36799999999999999</v>
      </c>
      <c r="D41" s="63">
        <f>SUM(D33:D40)</f>
        <v>1728.36</v>
      </c>
      <c r="E41" s="64">
        <f>SUM(E33:E40)</f>
        <v>1728.36</v>
      </c>
    </row>
    <row r="42" spans="1:5" s="30" customFormat="1" x14ac:dyDescent="0.25">
      <c r="A42" s="346" t="s">
        <v>165</v>
      </c>
      <c r="B42" s="347"/>
      <c r="C42" s="347"/>
      <c r="D42" s="347"/>
      <c r="E42" s="397"/>
    </row>
    <row r="43" spans="1:5" s="30" customFormat="1" x14ac:dyDescent="0.25">
      <c r="A43" s="138" t="s">
        <v>201</v>
      </c>
      <c r="B43" s="352" t="s">
        <v>202</v>
      </c>
      <c r="C43" s="353"/>
      <c r="D43" s="258"/>
      <c r="E43" s="264"/>
    </row>
    <row r="44" spans="1:5" s="30" customFormat="1" x14ac:dyDescent="0.25">
      <c r="A44" s="141" t="s">
        <v>0</v>
      </c>
      <c r="B44" s="142" t="s">
        <v>137</v>
      </c>
      <c r="C44" s="143"/>
      <c r="D44" s="144">
        <v>139.72</v>
      </c>
      <c r="E44" s="145">
        <v>139.72</v>
      </c>
    </row>
    <row r="45" spans="1:5" s="30" customFormat="1" x14ac:dyDescent="0.25">
      <c r="A45" s="146" t="s">
        <v>2</v>
      </c>
      <c r="B45" s="116" t="s">
        <v>182</v>
      </c>
      <c r="C45" s="147">
        <v>626.94000000000005</v>
      </c>
      <c r="D45" s="76">
        <f>C45-(C45*0.99%)</f>
        <v>620.73</v>
      </c>
      <c r="E45" s="148">
        <f>C45-(C45*0.99%)</f>
        <v>620.73</v>
      </c>
    </row>
    <row r="46" spans="1:5" s="30" customFormat="1" x14ac:dyDescent="0.25">
      <c r="A46" s="123" t="s">
        <v>3</v>
      </c>
      <c r="B46" s="124" t="s">
        <v>129</v>
      </c>
      <c r="C46" s="149"/>
      <c r="D46" s="143">
        <v>0</v>
      </c>
      <c r="E46" s="244">
        <v>0</v>
      </c>
    </row>
    <row r="47" spans="1:5" s="30" customFormat="1" x14ac:dyDescent="0.25">
      <c r="A47" s="123" t="s">
        <v>5</v>
      </c>
      <c r="B47" s="124" t="s">
        <v>130</v>
      </c>
      <c r="C47" s="125">
        <v>0.5</v>
      </c>
      <c r="D47" s="150">
        <f>(D18*C47*0.0199*2)/12</f>
        <v>5.51</v>
      </c>
      <c r="E47" s="151">
        <f>(E18*C47*0.0199*2)/12</f>
        <v>5.51</v>
      </c>
    </row>
    <row r="48" spans="1:5" s="30" customFormat="1" x14ac:dyDescent="0.25">
      <c r="A48" s="123" t="s">
        <v>20</v>
      </c>
      <c r="B48" s="124" t="s">
        <v>131</v>
      </c>
      <c r="C48" s="149"/>
      <c r="D48" s="285">
        <v>50.76</v>
      </c>
      <c r="E48" s="286">
        <v>50.76</v>
      </c>
    </row>
    <row r="49" spans="1:5" s="30" customFormat="1" ht="15.75" customHeight="1" x14ac:dyDescent="0.25">
      <c r="A49" s="342" t="s">
        <v>23</v>
      </c>
      <c r="B49" s="343"/>
      <c r="C49" s="187"/>
      <c r="D49" s="63">
        <f>SUM(D44:D48)</f>
        <v>816.72</v>
      </c>
      <c r="E49" s="64">
        <f>SUM(E44:E48)</f>
        <v>816.72</v>
      </c>
    </row>
    <row r="50" spans="1:5" s="30" customFormat="1" ht="15.75" customHeight="1" x14ac:dyDescent="0.25">
      <c r="A50" s="346" t="s">
        <v>209</v>
      </c>
      <c r="B50" s="347"/>
      <c r="C50" s="347"/>
      <c r="D50" s="347"/>
      <c r="E50" s="397"/>
    </row>
    <row r="51" spans="1:5" s="30" customFormat="1" ht="15.75" customHeight="1" x14ac:dyDescent="0.25">
      <c r="A51" s="259" t="s">
        <v>136</v>
      </c>
      <c r="B51" s="152" t="s">
        <v>138</v>
      </c>
      <c r="C51" s="260"/>
      <c r="D51" s="107">
        <f>D30</f>
        <v>764.42</v>
      </c>
      <c r="E51" s="108">
        <f>E30</f>
        <v>764.42</v>
      </c>
    </row>
    <row r="52" spans="1:5" s="30" customFormat="1" ht="15.75" customHeight="1" x14ac:dyDescent="0.25">
      <c r="A52" s="259" t="s">
        <v>200</v>
      </c>
      <c r="B52" s="152" t="s">
        <v>139</v>
      </c>
      <c r="C52" s="260"/>
      <c r="D52" s="107">
        <f>D41</f>
        <v>1728.36</v>
      </c>
      <c r="E52" s="108">
        <f>E41</f>
        <v>1728.36</v>
      </c>
    </row>
    <row r="53" spans="1:5" s="30" customFormat="1" ht="15.75" customHeight="1" x14ac:dyDescent="0.25">
      <c r="A53" s="259" t="s">
        <v>201</v>
      </c>
      <c r="B53" s="152" t="s">
        <v>140</v>
      </c>
      <c r="C53" s="260"/>
      <c r="D53" s="107">
        <f>D49</f>
        <v>816.72</v>
      </c>
      <c r="E53" s="108">
        <f>E49</f>
        <v>816.72</v>
      </c>
    </row>
    <row r="54" spans="1:5" s="30" customFormat="1" ht="15.75" customHeight="1" x14ac:dyDescent="0.25">
      <c r="A54" s="344" t="s">
        <v>146</v>
      </c>
      <c r="B54" s="345"/>
      <c r="C54" s="345"/>
      <c r="D54" s="117">
        <f>SUM(D51:D53)</f>
        <v>3309.5</v>
      </c>
      <c r="E54" s="118">
        <f>SUM(E51:E53)</f>
        <v>3309.5</v>
      </c>
    </row>
    <row r="55" spans="1:5" s="30" customFormat="1" ht="15.75" customHeight="1" x14ac:dyDescent="0.25">
      <c r="A55" s="365" t="s">
        <v>154</v>
      </c>
      <c r="B55" s="366"/>
      <c r="C55" s="366"/>
      <c r="D55" s="366"/>
      <c r="E55" s="396"/>
    </row>
    <row r="56" spans="1:5" s="30" customFormat="1" ht="15.75" customHeight="1" x14ac:dyDescent="0.25">
      <c r="A56" s="257" t="s">
        <v>191</v>
      </c>
      <c r="B56" s="356" t="s">
        <v>32</v>
      </c>
      <c r="C56" s="357"/>
      <c r="D56" s="121" t="s">
        <v>10</v>
      </c>
      <c r="E56" s="122" t="s">
        <v>10</v>
      </c>
    </row>
    <row r="57" spans="1:5" s="30" customFormat="1" ht="15.75" customHeight="1" x14ac:dyDescent="0.25">
      <c r="A57" s="123" t="s">
        <v>0</v>
      </c>
      <c r="B57" s="124" t="s">
        <v>33</v>
      </c>
      <c r="C57" s="125">
        <v>4.5999999999999999E-3</v>
      </c>
      <c r="D57" s="126">
        <f>D$25*C57</f>
        <v>18.09</v>
      </c>
      <c r="E57" s="127">
        <f>E$25*C57</f>
        <v>18.09</v>
      </c>
    </row>
    <row r="58" spans="1:5" s="30" customFormat="1" ht="15.75" customHeight="1" x14ac:dyDescent="0.25">
      <c r="A58" s="123" t="s">
        <v>2</v>
      </c>
      <c r="B58" s="124" t="s">
        <v>34</v>
      </c>
      <c r="C58" s="125">
        <v>4.0000000000000002E-4</v>
      </c>
      <c r="D58" s="126">
        <f>D$25*C58</f>
        <v>1.57</v>
      </c>
      <c r="E58" s="127">
        <f>E$25*C58</f>
        <v>1.57</v>
      </c>
    </row>
    <row r="59" spans="1:5" s="30" customFormat="1" ht="15.75" customHeight="1" x14ac:dyDescent="0.25">
      <c r="A59" s="123" t="s">
        <v>3</v>
      </c>
      <c r="B59" s="154" t="s">
        <v>35</v>
      </c>
      <c r="C59" s="125">
        <v>1.9400000000000001E-2</v>
      </c>
      <c r="D59" s="126">
        <f>D$25*C59</f>
        <v>76.28</v>
      </c>
      <c r="E59" s="127">
        <f>E$25*C59</f>
        <v>76.28</v>
      </c>
    </row>
    <row r="60" spans="1:5" s="30" customFormat="1" ht="30.75" customHeight="1" x14ac:dyDescent="0.25">
      <c r="A60" s="123" t="s">
        <v>5</v>
      </c>
      <c r="B60" s="124" t="s">
        <v>310</v>
      </c>
      <c r="C60" s="125">
        <v>7.7000000000000002E-3</v>
      </c>
      <c r="D60" s="126">
        <f>D$25*C60</f>
        <v>30.28</v>
      </c>
      <c r="E60" s="127">
        <f>E$25*C60</f>
        <v>30.28</v>
      </c>
    </row>
    <row r="61" spans="1:5" s="30" customFormat="1" ht="15.75" customHeight="1" x14ac:dyDescent="0.25">
      <c r="A61" s="123" t="s">
        <v>20</v>
      </c>
      <c r="B61" s="124" t="s">
        <v>142</v>
      </c>
      <c r="C61" s="125">
        <v>0.04</v>
      </c>
      <c r="D61" s="126">
        <f>D$25*C61</f>
        <v>157.29</v>
      </c>
      <c r="E61" s="127">
        <f>E$25*C61</f>
        <v>157.29</v>
      </c>
    </row>
    <row r="62" spans="1:5" s="30" customFormat="1" ht="15.75" customHeight="1" x14ac:dyDescent="0.25">
      <c r="A62" s="344" t="s">
        <v>147</v>
      </c>
      <c r="B62" s="345"/>
      <c r="C62" s="265">
        <f>SUM(C57:C61)</f>
        <v>7.2099999999999997E-2</v>
      </c>
      <c r="D62" s="117">
        <f>SUM(D57:D61)</f>
        <v>283.51</v>
      </c>
      <c r="E62" s="118">
        <f>SUM(E57:E61)</f>
        <v>283.51</v>
      </c>
    </row>
    <row r="63" spans="1:5" s="30" customFormat="1" x14ac:dyDescent="0.25">
      <c r="A63" s="365" t="s">
        <v>155</v>
      </c>
      <c r="B63" s="366"/>
      <c r="C63" s="366"/>
      <c r="D63" s="366"/>
      <c r="E63" s="396"/>
    </row>
    <row r="64" spans="1:5" s="30" customFormat="1" x14ac:dyDescent="0.25">
      <c r="A64" s="257" t="s">
        <v>190</v>
      </c>
      <c r="B64" s="358" t="s">
        <v>189</v>
      </c>
      <c r="C64" s="358"/>
      <c r="D64" s="121" t="s">
        <v>10</v>
      </c>
      <c r="E64" s="122" t="s">
        <v>10</v>
      </c>
    </row>
    <row r="65" spans="1:5" s="30" customFormat="1" x14ac:dyDescent="0.25">
      <c r="A65" s="123" t="s">
        <v>0</v>
      </c>
      <c r="B65" s="124" t="s">
        <v>183</v>
      </c>
      <c r="C65" s="125">
        <f>C29/12</f>
        <v>9.2999999999999992E-3</v>
      </c>
      <c r="D65" s="126">
        <f t="shared" ref="D65:D71" si="2">(D$25+D$54+D$62+D$86)*C65</f>
        <v>70.3</v>
      </c>
      <c r="E65" s="127">
        <f t="shared" ref="E65:E71" si="3">(E$25+E$54+E$62+E$86)*C65</f>
        <v>70.3</v>
      </c>
    </row>
    <row r="66" spans="1:5" s="30" customFormat="1" x14ac:dyDescent="0.25">
      <c r="A66" s="123" t="s">
        <v>2</v>
      </c>
      <c r="B66" s="124" t="s">
        <v>184</v>
      </c>
      <c r="C66" s="125">
        <v>1.3899999999999999E-2</v>
      </c>
      <c r="D66" s="126">
        <f t="shared" si="2"/>
        <v>105.07</v>
      </c>
      <c r="E66" s="127">
        <f t="shared" si="3"/>
        <v>105.07</v>
      </c>
    </row>
    <row r="67" spans="1:5" s="30" customFormat="1" x14ac:dyDescent="0.25">
      <c r="A67" s="123" t="s">
        <v>3</v>
      </c>
      <c r="B67" s="124" t="s">
        <v>187</v>
      </c>
      <c r="C67" s="125">
        <v>1.2999999999999999E-3</v>
      </c>
      <c r="D67" s="126">
        <f t="shared" si="2"/>
        <v>9.83</v>
      </c>
      <c r="E67" s="127">
        <f t="shared" si="3"/>
        <v>9.83</v>
      </c>
    </row>
    <row r="68" spans="1:5" s="30" customFormat="1" x14ac:dyDescent="0.25">
      <c r="A68" s="123" t="s">
        <v>5</v>
      </c>
      <c r="B68" s="124" t="s">
        <v>185</v>
      </c>
      <c r="C68" s="125">
        <v>2.0000000000000001E-4</v>
      </c>
      <c r="D68" s="126">
        <f t="shared" si="2"/>
        <v>1.51</v>
      </c>
      <c r="E68" s="127">
        <f t="shared" si="3"/>
        <v>1.51</v>
      </c>
    </row>
    <row r="69" spans="1:5" s="30" customFormat="1" x14ac:dyDescent="0.25">
      <c r="A69" s="123" t="s">
        <v>20</v>
      </c>
      <c r="B69" s="124" t="s">
        <v>299</v>
      </c>
      <c r="C69" s="125">
        <v>2.8E-3</v>
      </c>
      <c r="D69" s="126">
        <f t="shared" si="2"/>
        <v>21.17</v>
      </c>
      <c r="E69" s="127">
        <f t="shared" si="3"/>
        <v>21.17</v>
      </c>
    </row>
    <row r="70" spans="1:5" s="30" customFormat="1" x14ac:dyDescent="0.25">
      <c r="A70" s="123" t="s">
        <v>21</v>
      </c>
      <c r="B70" s="124" t="s">
        <v>186</v>
      </c>
      <c r="C70" s="125">
        <v>2.9999999999999997E-4</v>
      </c>
      <c r="D70" s="126">
        <f t="shared" si="2"/>
        <v>2.27</v>
      </c>
      <c r="E70" s="127">
        <f t="shared" si="3"/>
        <v>2.27</v>
      </c>
    </row>
    <row r="71" spans="1:5" s="30" customFormat="1" ht="15.75" customHeight="1" x14ac:dyDescent="0.25">
      <c r="A71" s="123" t="s">
        <v>22</v>
      </c>
      <c r="B71" s="256" t="s">
        <v>188</v>
      </c>
      <c r="C71" s="125">
        <v>0</v>
      </c>
      <c r="D71" s="126">
        <f t="shared" si="2"/>
        <v>0</v>
      </c>
      <c r="E71" s="127">
        <f t="shared" si="3"/>
        <v>0</v>
      </c>
    </row>
    <row r="72" spans="1:5" s="30" customFormat="1" x14ac:dyDescent="0.25">
      <c r="A72" s="342" t="s">
        <v>29</v>
      </c>
      <c r="B72" s="343"/>
      <c r="C72" s="135">
        <f>SUM(C65:C71)</f>
        <v>2.7799999999999998E-2</v>
      </c>
      <c r="D72" s="63">
        <f>SUM(D65:D71)</f>
        <v>210.15</v>
      </c>
      <c r="E72" s="64">
        <f>SUM(E65:E71)</f>
        <v>210.15</v>
      </c>
    </row>
    <row r="73" spans="1:5" s="30" customFormat="1" x14ac:dyDescent="0.25">
      <c r="A73" s="259"/>
      <c r="B73" s="260"/>
      <c r="C73" s="192"/>
      <c r="D73" s="192"/>
      <c r="E73" s="148"/>
    </row>
    <row r="74" spans="1:5" s="30" customFormat="1" x14ac:dyDescent="0.25">
      <c r="A74" s="259"/>
      <c r="B74" s="354" t="s">
        <v>192</v>
      </c>
      <c r="C74" s="355"/>
      <c r="D74" s="121" t="s">
        <v>10</v>
      </c>
      <c r="E74" s="122" t="s">
        <v>10</v>
      </c>
    </row>
    <row r="75" spans="1:5" s="30" customFormat="1" x14ac:dyDescent="0.25">
      <c r="A75" s="123" t="s">
        <v>0</v>
      </c>
      <c r="B75" s="124" t="s">
        <v>193</v>
      </c>
      <c r="C75" s="125">
        <v>0</v>
      </c>
      <c r="D75" s="126">
        <f>(D$25+D$54+D$62)*C75</f>
        <v>0</v>
      </c>
      <c r="E75" s="127">
        <f>(E$25+E$54+E$62)*C75</f>
        <v>0</v>
      </c>
    </row>
    <row r="76" spans="1:5" s="30" customFormat="1" ht="15.75" customHeight="1" x14ac:dyDescent="0.25">
      <c r="A76" s="342" t="s">
        <v>27</v>
      </c>
      <c r="B76" s="343"/>
      <c r="C76" s="156">
        <f>C75</f>
        <v>0</v>
      </c>
      <c r="D76" s="63">
        <f>D75</f>
        <v>0</v>
      </c>
      <c r="E76" s="64">
        <f>E75</f>
        <v>0</v>
      </c>
    </row>
    <row r="77" spans="1:5" s="30" customFormat="1" ht="15.75" customHeight="1" x14ac:dyDescent="0.25">
      <c r="A77" s="346" t="s">
        <v>30</v>
      </c>
      <c r="B77" s="347"/>
      <c r="C77" s="347"/>
      <c r="D77" s="347"/>
      <c r="E77" s="397"/>
    </row>
    <row r="78" spans="1:5" s="30" customFormat="1" ht="15.75" customHeight="1" x14ac:dyDescent="0.25">
      <c r="A78" s="390" t="s">
        <v>194</v>
      </c>
      <c r="B78" s="391"/>
      <c r="C78" s="391"/>
      <c r="D78" s="391"/>
      <c r="E78" s="398"/>
    </row>
    <row r="79" spans="1:5" s="30" customFormat="1" ht="15.75" customHeight="1" x14ac:dyDescent="0.25">
      <c r="A79" s="257">
        <v>4</v>
      </c>
      <c r="B79" s="356" t="s">
        <v>31</v>
      </c>
      <c r="C79" s="357"/>
      <c r="D79" s="121" t="s">
        <v>10</v>
      </c>
      <c r="E79" s="122" t="s">
        <v>10</v>
      </c>
    </row>
    <row r="80" spans="1:5" s="30" customFormat="1" ht="15.75" customHeight="1" x14ac:dyDescent="0.25">
      <c r="A80" s="123" t="s">
        <v>190</v>
      </c>
      <c r="B80" s="256" t="s">
        <v>189</v>
      </c>
      <c r="C80" s="125">
        <f>C72</f>
        <v>2.7799999999999998E-2</v>
      </c>
      <c r="D80" s="126">
        <f>D72</f>
        <v>210.15</v>
      </c>
      <c r="E80" s="127">
        <f>E72</f>
        <v>210.15</v>
      </c>
    </row>
    <row r="81" spans="1:5" s="30" customFormat="1" ht="15.75" customHeight="1" x14ac:dyDescent="0.25">
      <c r="A81" s="123" t="s">
        <v>206</v>
      </c>
      <c r="B81" s="256" t="s">
        <v>192</v>
      </c>
      <c r="C81" s="125">
        <v>0</v>
      </c>
      <c r="D81" s="126">
        <f>(D$25+D$54+D$62)*C81</f>
        <v>0</v>
      </c>
      <c r="E81" s="127">
        <f>(E$25+E$54+E$62)*C81</f>
        <v>0</v>
      </c>
    </row>
    <row r="82" spans="1:5" s="30" customFormat="1" ht="15.75" customHeight="1" x14ac:dyDescent="0.25">
      <c r="A82" s="342" t="s">
        <v>27</v>
      </c>
      <c r="B82" s="343"/>
      <c r="C82" s="128">
        <f>SUM(C80:C81)</f>
        <v>2.7799999999999998E-2</v>
      </c>
      <c r="D82" s="63">
        <f>SUM(D80:D81)</f>
        <v>210.15</v>
      </c>
      <c r="E82" s="64">
        <f>SUM(E80:E81)</f>
        <v>210.15</v>
      </c>
    </row>
    <row r="83" spans="1:5" s="30" customFormat="1" ht="15.75" customHeight="1" x14ac:dyDescent="0.25">
      <c r="A83" s="344" t="s">
        <v>148</v>
      </c>
      <c r="B83" s="345"/>
      <c r="C83" s="345"/>
      <c r="D83" s="117">
        <f>SUM(D76+D82)</f>
        <v>210.15</v>
      </c>
      <c r="E83" s="118">
        <f>SUM(E76+E82)</f>
        <v>210.15</v>
      </c>
    </row>
    <row r="84" spans="1:5" s="30" customFormat="1" ht="15.75" customHeight="1" x14ac:dyDescent="0.25">
      <c r="A84" s="365" t="s">
        <v>156</v>
      </c>
      <c r="B84" s="366"/>
      <c r="C84" s="366"/>
      <c r="D84" s="366"/>
      <c r="E84" s="396"/>
    </row>
    <row r="85" spans="1:5" s="30" customFormat="1" ht="15.75" customHeight="1" x14ac:dyDescent="0.25">
      <c r="A85" s="257">
        <v>5</v>
      </c>
      <c r="B85" s="356" t="s">
        <v>24</v>
      </c>
      <c r="C85" s="357"/>
      <c r="D85" s="121" t="s">
        <v>10</v>
      </c>
      <c r="E85" s="122" t="s">
        <v>10</v>
      </c>
    </row>
    <row r="86" spans="1:5" s="30" customFormat="1" ht="15.75" customHeight="1" x14ac:dyDescent="0.25">
      <c r="A86" s="146" t="s">
        <v>0</v>
      </c>
      <c r="B86" s="378" t="s">
        <v>207</v>
      </c>
      <c r="C86" s="378"/>
      <c r="D86" s="126">
        <f>Uniformes!H7</f>
        <v>33.93</v>
      </c>
      <c r="E86" s="127">
        <f>Uniformes!H7</f>
        <v>33.93</v>
      </c>
    </row>
    <row r="87" spans="1:5" s="30" customFormat="1" ht="15.75" customHeight="1" x14ac:dyDescent="0.25">
      <c r="A87" s="146" t="s">
        <v>2</v>
      </c>
      <c r="B87" s="378" t="s">
        <v>208</v>
      </c>
      <c r="C87" s="378"/>
      <c r="D87" s="126">
        <f>Materiais!H18</f>
        <v>58.98</v>
      </c>
      <c r="E87" s="127">
        <f>Materiais!H20</f>
        <v>58.98</v>
      </c>
    </row>
    <row r="88" spans="1:5" s="30" customFormat="1" ht="15.75" customHeight="1" x14ac:dyDescent="0.25">
      <c r="A88" s="146" t="s">
        <v>3</v>
      </c>
      <c r="B88" s="378" t="s">
        <v>178</v>
      </c>
      <c r="C88" s="378"/>
      <c r="D88" s="76">
        <f>Equipamentos!H18</f>
        <v>1107.97</v>
      </c>
      <c r="E88" s="148">
        <f>Equipamentos!H20</f>
        <v>1107.97</v>
      </c>
    </row>
    <row r="89" spans="1:5" s="30" customFormat="1" ht="15.75" customHeight="1" x14ac:dyDescent="0.25">
      <c r="A89" s="146" t="s">
        <v>5</v>
      </c>
      <c r="B89" s="378" t="s">
        <v>132</v>
      </c>
      <c r="C89" s="378"/>
      <c r="D89" s="126">
        <v>0</v>
      </c>
      <c r="E89" s="127">
        <v>0</v>
      </c>
    </row>
    <row r="90" spans="1:5" s="30" customFormat="1" ht="15.75" customHeight="1" x14ac:dyDescent="0.25">
      <c r="A90" s="344" t="s">
        <v>149</v>
      </c>
      <c r="B90" s="345"/>
      <c r="C90" s="345"/>
      <c r="D90" s="117">
        <f>SUM(D86:D89)</f>
        <v>1200.8800000000001</v>
      </c>
      <c r="E90" s="118">
        <f>SUM(E86:E89)</f>
        <v>1200.8800000000001</v>
      </c>
    </row>
    <row r="91" spans="1:5" s="30" customFormat="1" ht="30" customHeight="1" x14ac:dyDescent="0.25">
      <c r="A91" s="348" t="s">
        <v>210</v>
      </c>
      <c r="B91" s="349"/>
      <c r="C91" s="349"/>
      <c r="D91" s="159">
        <f>D90+D83+D62+D54+D25</f>
        <v>8936.24</v>
      </c>
      <c r="E91" s="160">
        <f>E90+E83+E62+E54+E25</f>
        <v>8936.24</v>
      </c>
    </row>
    <row r="92" spans="1:5" s="30" customFormat="1" ht="19.5" customHeight="1" x14ac:dyDescent="0.25">
      <c r="A92" s="365" t="s">
        <v>157</v>
      </c>
      <c r="B92" s="366"/>
      <c r="C92" s="366"/>
      <c r="D92" s="366"/>
      <c r="E92" s="396"/>
    </row>
    <row r="93" spans="1:5" s="30" customFormat="1" x14ac:dyDescent="0.25">
      <c r="A93" s="257">
        <v>6</v>
      </c>
      <c r="B93" s="356" t="s">
        <v>38</v>
      </c>
      <c r="C93" s="372"/>
      <c r="D93" s="121" t="s">
        <v>10</v>
      </c>
      <c r="E93" s="122" t="s">
        <v>10</v>
      </c>
    </row>
    <row r="94" spans="1:5" s="30" customFormat="1" x14ac:dyDescent="0.25">
      <c r="A94" s="123" t="s">
        <v>0</v>
      </c>
      <c r="B94" s="124" t="s">
        <v>39</v>
      </c>
      <c r="C94" s="161">
        <v>0.05</v>
      </c>
      <c r="D94" s="126">
        <f>+D91*C94</f>
        <v>446.81</v>
      </c>
      <c r="E94" s="127">
        <f>+E91*C94</f>
        <v>446.81</v>
      </c>
    </row>
    <row r="95" spans="1:5" s="30" customFormat="1" x14ac:dyDescent="0.25">
      <c r="A95" s="123" t="s">
        <v>2</v>
      </c>
      <c r="B95" s="124" t="s">
        <v>40</v>
      </c>
      <c r="C95" s="161">
        <v>0.1</v>
      </c>
      <c r="D95" s="126">
        <f>C95*(+D91+D94)</f>
        <v>938.31</v>
      </c>
      <c r="E95" s="127">
        <f>C95*(+E91+E94)</f>
        <v>938.31</v>
      </c>
    </row>
    <row r="96" spans="1:5" s="30" customFormat="1" ht="30" x14ac:dyDescent="0.25">
      <c r="A96" s="123"/>
      <c r="B96" s="124" t="s">
        <v>47</v>
      </c>
      <c r="C96" s="125">
        <f>1-C103</f>
        <v>0.85750000000000004</v>
      </c>
      <c r="D96" s="126">
        <f>+D91+D94+D95</f>
        <v>10321.36</v>
      </c>
      <c r="E96" s="127">
        <f>+E91+E94+E95</f>
        <v>10321.36</v>
      </c>
    </row>
    <row r="97" spans="1:5" s="30" customFormat="1" x14ac:dyDescent="0.25">
      <c r="A97" s="123"/>
      <c r="B97" s="256"/>
      <c r="C97" s="40"/>
      <c r="D97" s="162">
        <f>+D96/C96</f>
        <v>12036.57</v>
      </c>
      <c r="E97" s="163">
        <f>+E96/C96</f>
        <v>12036.57</v>
      </c>
    </row>
    <row r="98" spans="1:5" s="30" customFormat="1" x14ac:dyDescent="0.25">
      <c r="A98" s="123" t="s">
        <v>3</v>
      </c>
      <c r="B98" s="256" t="s">
        <v>41</v>
      </c>
      <c r="C98" s="164">
        <f>C100+C101+C102</f>
        <v>0.14249999999999999</v>
      </c>
      <c r="D98" s="162"/>
      <c r="E98" s="163"/>
    </row>
    <row r="99" spans="1:5" s="30" customFormat="1" x14ac:dyDescent="0.25">
      <c r="A99" s="123" t="s">
        <v>292</v>
      </c>
      <c r="B99" s="256" t="s">
        <v>288</v>
      </c>
      <c r="C99" s="206">
        <f>C100+C101</f>
        <v>9.2499999999999999E-2</v>
      </c>
      <c r="D99" s="126"/>
      <c r="E99" s="127"/>
    </row>
    <row r="100" spans="1:5" s="30" customFormat="1" x14ac:dyDescent="0.25">
      <c r="A100" s="123" t="s">
        <v>293</v>
      </c>
      <c r="B100" s="124" t="s">
        <v>289</v>
      </c>
      <c r="C100" s="125">
        <v>1.6500000000000001E-2</v>
      </c>
      <c r="D100" s="126">
        <f>+D97*C100</f>
        <v>198.6</v>
      </c>
      <c r="E100" s="127">
        <f>+E97*C100</f>
        <v>198.6</v>
      </c>
    </row>
    <row r="101" spans="1:5" s="30" customFormat="1" x14ac:dyDescent="0.25">
      <c r="A101" s="123" t="s">
        <v>294</v>
      </c>
      <c r="B101" s="124" t="s">
        <v>290</v>
      </c>
      <c r="C101" s="125">
        <v>7.5999999999999998E-2</v>
      </c>
      <c r="D101" s="126">
        <f>+D97*C101</f>
        <v>914.78</v>
      </c>
      <c r="E101" s="127">
        <f>+E97*C101</f>
        <v>914.78</v>
      </c>
    </row>
    <row r="102" spans="1:5" s="30" customFormat="1" x14ac:dyDescent="0.25">
      <c r="A102" s="123" t="s">
        <v>295</v>
      </c>
      <c r="B102" s="124" t="s">
        <v>291</v>
      </c>
      <c r="C102" s="125">
        <v>0.05</v>
      </c>
      <c r="D102" s="126">
        <f>+D97*C102</f>
        <v>601.83000000000004</v>
      </c>
      <c r="E102" s="127">
        <f>+E97*C102</f>
        <v>601.83000000000004</v>
      </c>
    </row>
    <row r="103" spans="1:5" s="30" customFormat="1" x14ac:dyDescent="0.25">
      <c r="A103" s="257"/>
      <c r="B103" s="157" t="s">
        <v>42</v>
      </c>
      <c r="C103" s="165">
        <f>C98</f>
        <v>0.14249999999999999</v>
      </c>
      <c r="D103" s="166">
        <f>SUM(D100:D102)</f>
        <v>1715.21</v>
      </c>
      <c r="E103" s="167">
        <f>SUM(E100:E102)</f>
        <v>1715.21</v>
      </c>
    </row>
    <row r="104" spans="1:5" s="30" customFormat="1" ht="15.75" customHeight="1" x14ac:dyDescent="0.25">
      <c r="A104" s="342" t="s">
        <v>43</v>
      </c>
      <c r="B104" s="343"/>
      <c r="C104" s="343"/>
      <c r="D104" s="63">
        <f>+D94+D95+D103</f>
        <v>3100.33</v>
      </c>
      <c r="E104" s="64">
        <f>+E94+E95+E103</f>
        <v>3100.33</v>
      </c>
    </row>
    <row r="105" spans="1:5" s="30" customFormat="1" ht="15.75" customHeight="1" x14ac:dyDescent="0.25">
      <c r="A105" s="388" t="s">
        <v>44</v>
      </c>
      <c r="B105" s="389"/>
      <c r="C105" s="389"/>
      <c r="D105" s="168" t="s">
        <v>10</v>
      </c>
      <c r="E105" s="169" t="s">
        <v>10</v>
      </c>
    </row>
    <row r="106" spans="1:5" s="30" customFormat="1" x14ac:dyDescent="0.25">
      <c r="A106" s="123" t="s">
        <v>0</v>
      </c>
      <c r="B106" s="362" t="s">
        <v>45</v>
      </c>
      <c r="C106" s="362"/>
      <c r="D106" s="126">
        <f>+D25</f>
        <v>3932.2</v>
      </c>
      <c r="E106" s="127">
        <f>+E25</f>
        <v>3932.2</v>
      </c>
    </row>
    <row r="107" spans="1:5" s="30" customFormat="1" x14ac:dyDescent="0.25">
      <c r="A107" s="123" t="s">
        <v>2</v>
      </c>
      <c r="B107" s="362" t="s">
        <v>152</v>
      </c>
      <c r="C107" s="362"/>
      <c r="D107" s="126">
        <f>+D54</f>
        <v>3309.5</v>
      </c>
      <c r="E107" s="127">
        <f>+E54</f>
        <v>3309.5</v>
      </c>
    </row>
    <row r="108" spans="1:5" s="30" customFormat="1" x14ac:dyDescent="0.25">
      <c r="A108" s="123" t="s">
        <v>3</v>
      </c>
      <c r="B108" s="362" t="s">
        <v>150</v>
      </c>
      <c r="C108" s="362"/>
      <c r="D108" s="126">
        <f>D62</f>
        <v>283.51</v>
      </c>
      <c r="E108" s="127">
        <f>E62</f>
        <v>283.51</v>
      </c>
    </row>
    <row r="109" spans="1:5" s="30" customFormat="1" x14ac:dyDescent="0.25">
      <c r="A109" s="123" t="s">
        <v>5</v>
      </c>
      <c r="B109" s="362" t="s">
        <v>143</v>
      </c>
      <c r="C109" s="362"/>
      <c r="D109" s="126">
        <f>D83</f>
        <v>210.15</v>
      </c>
      <c r="E109" s="127">
        <f>E83</f>
        <v>210.15</v>
      </c>
    </row>
    <row r="110" spans="1:5" s="30" customFormat="1" x14ac:dyDescent="0.25">
      <c r="A110" s="123" t="s">
        <v>20</v>
      </c>
      <c r="B110" s="362" t="s">
        <v>151</v>
      </c>
      <c r="C110" s="362"/>
      <c r="D110" s="126">
        <f>D90</f>
        <v>1200.8800000000001</v>
      </c>
      <c r="E110" s="127">
        <f>E90</f>
        <v>1200.8800000000001</v>
      </c>
    </row>
    <row r="111" spans="1:5" s="30" customFormat="1" ht="15.75" customHeight="1" x14ac:dyDescent="0.25">
      <c r="A111" s="363" t="s">
        <v>296</v>
      </c>
      <c r="B111" s="364"/>
      <c r="C111" s="364"/>
      <c r="D111" s="166">
        <f>SUM(D106:D110)</f>
        <v>8936.24</v>
      </c>
      <c r="E111" s="167">
        <f>SUM(E106:E110)</f>
        <v>8936.24</v>
      </c>
    </row>
    <row r="112" spans="1:5" s="30" customFormat="1" x14ac:dyDescent="0.25">
      <c r="A112" s="123" t="s">
        <v>21</v>
      </c>
      <c r="B112" s="362" t="s">
        <v>153</v>
      </c>
      <c r="C112" s="362"/>
      <c r="D112" s="126">
        <f>+D104</f>
        <v>3100.33</v>
      </c>
      <c r="E112" s="127">
        <f>+E104</f>
        <v>3100.33</v>
      </c>
    </row>
    <row r="113" spans="1:5" s="30" customFormat="1" ht="16.5" customHeight="1" thickBot="1" x14ac:dyDescent="0.3">
      <c r="A113" s="370" t="s">
        <v>46</v>
      </c>
      <c r="B113" s="371"/>
      <c r="C113" s="371"/>
      <c r="D113" s="170">
        <f>+D111+D112</f>
        <v>12036.57</v>
      </c>
      <c r="E113" s="171">
        <f>+E111+E112</f>
        <v>12036.57</v>
      </c>
    </row>
    <row r="114" spans="1:5" x14ac:dyDescent="0.25">
      <c r="C114" s="31"/>
      <c r="D114" s="31"/>
      <c r="E114" s="33"/>
    </row>
    <row r="115" spans="1:5" x14ac:dyDescent="0.25">
      <c r="B115" s="28"/>
      <c r="C115" s="31"/>
      <c r="D115" s="31"/>
      <c r="E115" s="34"/>
    </row>
    <row r="116" spans="1:5" x14ac:dyDescent="0.25">
      <c r="B116" s="28"/>
      <c r="C116" s="31"/>
      <c r="D116" s="31"/>
      <c r="E116" s="34" t="s">
        <v>126</v>
      </c>
    </row>
    <row r="117" spans="1:5" x14ac:dyDescent="0.25">
      <c r="B117" s="28"/>
      <c r="C117" s="359"/>
      <c r="D117" s="359"/>
      <c r="E117" s="359"/>
    </row>
    <row r="118" spans="1:5" x14ac:dyDescent="0.25">
      <c r="B118" s="28"/>
      <c r="C118" s="31"/>
      <c r="D118" s="31"/>
      <c r="E118" s="35"/>
    </row>
    <row r="120" spans="1:5" x14ac:dyDescent="0.25">
      <c r="B120" s="36"/>
    </row>
    <row r="125" spans="1:5" x14ac:dyDescent="0.25">
      <c r="B125" s="28"/>
    </row>
  </sheetData>
  <mergeCells count="64">
    <mergeCell ref="C6:E6"/>
    <mergeCell ref="A1:E1"/>
    <mergeCell ref="A2:E2"/>
    <mergeCell ref="A3:E3"/>
    <mergeCell ref="C4:E4"/>
    <mergeCell ref="C5:E5"/>
    <mergeCell ref="A25:C25"/>
    <mergeCell ref="C7:E7"/>
    <mergeCell ref="A8:E8"/>
    <mergeCell ref="A9:E9"/>
    <mergeCell ref="A10:E10"/>
    <mergeCell ref="A11:C11"/>
    <mergeCell ref="C12:E12"/>
    <mergeCell ref="C13:E13"/>
    <mergeCell ref="C14:E14"/>
    <mergeCell ref="C15:E15"/>
    <mergeCell ref="A16:C16"/>
    <mergeCell ref="B17:C17"/>
    <mergeCell ref="D11:E11"/>
    <mergeCell ref="A62:B62"/>
    <mergeCell ref="B56:C56"/>
    <mergeCell ref="A26:E26"/>
    <mergeCell ref="B27:C27"/>
    <mergeCell ref="A30:B30"/>
    <mergeCell ref="A31:E31"/>
    <mergeCell ref="B32:C32"/>
    <mergeCell ref="A41:B41"/>
    <mergeCell ref="A42:E42"/>
    <mergeCell ref="B43:C43"/>
    <mergeCell ref="A50:E50"/>
    <mergeCell ref="A54:C54"/>
    <mergeCell ref="A55:E55"/>
    <mergeCell ref="A49:B49"/>
    <mergeCell ref="A84:E84"/>
    <mergeCell ref="A63:E63"/>
    <mergeCell ref="B64:C64"/>
    <mergeCell ref="A72:B72"/>
    <mergeCell ref="B74:C74"/>
    <mergeCell ref="A76:B76"/>
    <mergeCell ref="A77:E77"/>
    <mergeCell ref="A78:E78"/>
    <mergeCell ref="B79:C79"/>
    <mergeCell ref="A82:B82"/>
    <mergeCell ref="A83:C83"/>
    <mergeCell ref="A105:C105"/>
    <mergeCell ref="B85:C85"/>
    <mergeCell ref="B86:C86"/>
    <mergeCell ref="B87:C87"/>
    <mergeCell ref="B88:C88"/>
    <mergeCell ref="B89:C89"/>
    <mergeCell ref="A90:C90"/>
    <mergeCell ref="A91:C91"/>
    <mergeCell ref="A92:E92"/>
    <mergeCell ref="B93:C93"/>
    <mergeCell ref="A104:C104"/>
    <mergeCell ref="B112:C112"/>
    <mergeCell ref="A113:C113"/>
    <mergeCell ref="C117:E117"/>
    <mergeCell ref="B106:C106"/>
    <mergeCell ref="B107:C107"/>
    <mergeCell ref="B108:C108"/>
    <mergeCell ref="B109:C109"/>
    <mergeCell ref="B110:C110"/>
    <mergeCell ref="A111:C111"/>
  </mergeCells>
  <hyperlinks>
    <hyperlink ref="B38" r:id="rId1" display="08 - Sebrae 0,3% ou 0,6% - IN nº 03, MPS/SRP/2005, Anexo II e III ver código da Tabela" xr:uid="{00000000-0004-0000-0500-000000000000}"/>
  </hyperlinks>
  <pageMargins left="0.511811024" right="0.511811024" top="0.78740157499999996" bottom="0.78740157499999996" header="0.31496062000000002" footer="0.31496062000000002"/>
  <pageSetup paperSize="9" scale="36" orientation="portrait"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125"/>
  <sheetViews>
    <sheetView view="pageBreakPreview" topLeftCell="A99" zoomScaleNormal="115" zoomScaleSheetLayoutView="100" workbookViewId="0">
      <selection activeCell="D48" sqref="D48:E48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4" width="15.7109375" style="32" customWidth="1"/>
    <col min="5" max="5" width="15.7109375" style="37" customWidth="1"/>
    <col min="6" max="6" width="9.140625" style="28" customWidth="1"/>
    <col min="7" max="16384" width="9.140625" style="28"/>
  </cols>
  <sheetData>
    <row r="1" spans="1:5" x14ac:dyDescent="0.25">
      <c r="A1" s="331"/>
      <c r="B1" s="332"/>
      <c r="C1" s="332"/>
      <c r="D1" s="332"/>
      <c r="E1" s="333"/>
    </row>
    <row r="2" spans="1:5" s="38" customFormat="1" ht="16.5" customHeight="1" x14ac:dyDescent="0.25">
      <c r="A2" s="367" t="s">
        <v>127</v>
      </c>
      <c r="B2" s="368"/>
      <c r="C2" s="368"/>
      <c r="D2" s="368"/>
      <c r="E2" s="369"/>
    </row>
    <row r="3" spans="1:5" s="38" customFormat="1" x14ac:dyDescent="0.25">
      <c r="A3" s="325" t="s">
        <v>126</v>
      </c>
      <c r="B3" s="326"/>
      <c r="C3" s="326"/>
      <c r="D3" s="326"/>
      <c r="E3" s="327"/>
    </row>
    <row r="4" spans="1:5" s="38" customFormat="1" ht="15" customHeight="1" x14ac:dyDescent="0.25">
      <c r="A4" s="74" t="s">
        <v>0</v>
      </c>
      <c r="B4" s="102" t="s">
        <v>1</v>
      </c>
      <c r="C4" s="334">
        <v>2025</v>
      </c>
      <c r="D4" s="334"/>
      <c r="E4" s="335"/>
    </row>
    <row r="5" spans="1:5" s="38" customFormat="1" ht="75" customHeight="1" x14ac:dyDescent="0.25">
      <c r="A5" s="74" t="s">
        <v>2</v>
      </c>
      <c r="B5" s="102" t="s">
        <v>135</v>
      </c>
      <c r="C5" s="336" t="s">
        <v>242</v>
      </c>
      <c r="D5" s="336"/>
      <c r="E5" s="337"/>
    </row>
    <row r="6" spans="1:5" s="38" customFormat="1" ht="15.75" customHeight="1" x14ac:dyDescent="0.25">
      <c r="A6" s="74" t="s">
        <v>3</v>
      </c>
      <c r="B6" s="102" t="s">
        <v>4</v>
      </c>
      <c r="C6" s="336" t="s">
        <v>297</v>
      </c>
      <c r="D6" s="336"/>
      <c r="E6" s="337"/>
    </row>
    <row r="7" spans="1:5" s="38" customFormat="1" x14ac:dyDescent="0.25">
      <c r="A7" s="74" t="s">
        <v>5</v>
      </c>
      <c r="B7" s="102" t="s">
        <v>300</v>
      </c>
      <c r="C7" s="336">
        <v>12</v>
      </c>
      <c r="D7" s="336"/>
      <c r="E7" s="337"/>
    </row>
    <row r="8" spans="1:5" s="38" customFormat="1" x14ac:dyDescent="0.25">
      <c r="A8" s="325" t="s">
        <v>6</v>
      </c>
      <c r="B8" s="326"/>
      <c r="C8" s="326"/>
      <c r="D8" s="326"/>
      <c r="E8" s="327"/>
    </row>
    <row r="9" spans="1:5" s="38" customFormat="1" x14ac:dyDescent="0.25">
      <c r="A9" s="325" t="s">
        <v>7</v>
      </c>
      <c r="B9" s="326"/>
      <c r="C9" s="326"/>
      <c r="D9" s="326"/>
      <c r="E9" s="327"/>
    </row>
    <row r="10" spans="1:5" s="38" customFormat="1" ht="15.75" customHeight="1" x14ac:dyDescent="0.25">
      <c r="A10" s="325" t="s">
        <v>8</v>
      </c>
      <c r="B10" s="326"/>
      <c r="C10" s="326"/>
      <c r="D10" s="326"/>
      <c r="E10" s="327"/>
    </row>
    <row r="11" spans="1:5" s="38" customFormat="1" ht="30" customHeight="1" x14ac:dyDescent="0.25">
      <c r="A11" s="328" t="s">
        <v>9</v>
      </c>
      <c r="B11" s="329"/>
      <c r="C11" s="329"/>
      <c r="D11" s="329"/>
      <c r="E11" s="261" t="s">
        <v>10</v>
      </c>
    </row>
    <row r="12" spans="1:5" s="38" customFormat="1" ht="60" customHeight="1" x14ac:dyDescent="0.25">
      <c r="A12" s="74">
        <v>1</v>
      </c>
      <c r="B12" s="247" t="s">
        <v>128</v>
      </c>
      <c r="C12" s="381" t="s">
        <v>243</v>
      </c>
      <c r="D12" s="381"/>
      <c r="E12" s="382"/>
    </row>
    <row r="13" spans="1:5" s="38" customFormat="1" ht="30" customHeight="1" x14ac:dyDescent="0.25">
      <c r="A13" s="74">
        <v>2</v>
      </c>
      <c r="B13" s="247" t="s">
        <v>11</v>
      </c>
      <c r="C13" s="392">
        <v>3325</v>
      </c>
      <c r="D13" s="392"/>
      <c r="E13" s="393"/>
    </row>
    <row r="14" spans="1:5" s="38" customFormat="1" ht="15.75" customHeight="1" x14ac:dyDescent="0.25">
      <c r="A14" s="74">
        <v>3</v>
      </c>
      <c r="B14" s="247" t="s">
        <v>12</v>
      </c>
      <c r="C14" s="381" t="s">
        <v>220</v>
      </c>
      <c r="D14" s="381"/>
      <c r="E14" s="382"/>
    </row>
    <row r="15" spans="1:5" s="38" customFormat="1" x14ac:dyDescent="0.25">
      <c r="A15" s="74">
        <v>4</v>
      </c>
      <c r="B15" s="248" t="s">
        <v>13</v>
      </c>
      <c r="C15" s="383">
        <v>2025</v>
      </c>
      <c r="D15" s="383"/>
      <c r="E15" s="384"/>
    </row>
    <row r="16" spans="1:5" s="39" customFormat="1" ht="30" x14ac:dyDescent="0.25">
      <c r="A16" s="346" t="s">
        <v>14</v>
      </c>
      <c r="B16" s="347"/>
      <c r="C16" s="347"/>
      <c r="D16" s="252" t="s">
        <v>248</v>
      </c>
      <c r="E16" s="264" t="s">
        <v>247</v>
      </c>
    </row>
    <row r="17" spans="1:5" s="39" customFormat="1" x14ac:dyDescent="0.25">
      <c r="A17" s="259">
        <v>1</v>
      </c>
      <c r="B17" s="354" t="s">
        <v>15</v>
      </c>
      <c r="C17" s="354"/>
      <c r="D17" s="103" t="s">
        <v>10</v>
      </c>
      <c r="E17" s="104" t="s">
        <v>10</v>
      </c>
    </row>
    <row r="18" spans="1:5" s="38" customFormat="1" ht="15.75" customHeight="1" x14ac:dyDescent="0.25">
      <c r="A18" s="105" t="s">
        <v>0</v>
      </c>
      <c r="B18" s="106" t="s">
        <v>16</v>
      </c>
      <c r="C18" s="248"/>
      <c r="D18" s="76">
        <f>C13</f>
        <v>3325</v>
      </c>
      <c r="E18" s="148">
        <f>C13</f>
        <v>3325</v>
      </c>
    </row>
    <row r="19" spans="1:5" s="38" customFormat="1" ht="15.75" customHeight="1" x14ac:dyDescent="0.25">
      <c r="A19" s="105" t="s">
        <v>2</v>
      </c>
      <c r="B19" s="106" t="s">
        <v>17</v>
      </c>
      <c r="C19" s="114"/>
      <c r="D19" s="112"/>
      <c r="E19" s="113"/>
    </row>
    <row r="20" spans="1:5" s="38" customFormat="1" ht="15.75" customHeight="1" x14ac:dyDescent="0.25">
      <c r="A20" s="105" t="s">
        <v>3</v>
      </c>
      <c r="B20" s="106" t="s">
        <v>18</v>
      </c>
      <c r="C20" s="111">
        <v>1518</v>
      </c>
      <c r="D20" s="112">
        <f>40%*C20</f>
        <v>607.20000000000005</v>
      </c>
      <c r="E20" s="113">
        <f>40%*C20</f>
        <v>607.20000000000005</v>
      </c>
    </row>
    <row r="21" spans="1:5" s="38" customFormat="1" ht="15.75" customHeight="1" x14ac:dyDescent="0.25">
      <c r="A21" s="105" t="s">
        <v>5</v>
      </c>
      <c r="B21" s="106" t="s">
        <v>19</v>
      </c>
      <c r="C21" s="114"/>
      <c r="D21" s="112">
        <f>((((D18+D20)/220)*20%)*8)*15.21</f>
        <v>434.97</v>
      </c>
      <c r="E21" s="113">
        <f>((((E18+E20)/220)*20%)*8)*15.21</f>
        <v>434.97</v>
      </c>
    </row>
    <row r="22" spans="1:5" s="38" customFormat="1" ht="15.75" customHeight="1" x14ac:dyDescent="0.25">
      <c r="A22" s="105" t="s">
        <v>20</v>
      </c>
      <c r="B22" s="106" t="s">
        <v>195</v>
      </c>
      <c r="C22" s="114"/>
      <c r="D22" s="112"/>
      <c r="E22" s="113"/>
    </row>
    <row r="23" spans="1:5" s="38" customFormat="1" x14ac:dyDescent="0.25">
      <c r="A23" s="105" t="s">
        <v>21</v>
      </c>
      <c r="B23" s="106" t="s">
        <v>133</v>
      </c>
      <c r="C23" s="115"/>
      <c r="D23" s="112"/>
      <c r="E23" s="113"/>
    </row>
    <row r="24" spans="1:5" s="38" customFormat="1" ht="15.75" customHeight="1" x14ac:dyDescent="0.25">
      <c r="A24" s="105" t="s">
        <v>22</v>
      </c>
      <c r="B24" s="116" t="s">
        <v>134</v>
      </c>
      <c r="C24" s="115"/>
      <c r="D24" s="112"/>
      <c r="E24" s="113"/>
    </row>
    <row r="25" spans="1:5" s="39" customFormat="1" ht="15.75" customHeight="1" x14ac:dyDescent="0.25">
      <c r="A25" s="344" t="s">
        <v>145</v>
      </c>
      <c r="B25" s="345"/>
      <c r="C25" s="345"/>
      <c r="D25" s="117">
        <f>SUM(D18:D24)</f>
        <v>4367.17</v>
      </c>
      <c r="E25" s="118">
        <f>SUM(E18:E24)</f>
        <v>4367.17</v>
      </c>
    </row>
    <row r="26" spans="1:5" s="39" customFormat="1" x14ac:dyDescent="0.25">
      <c r="A26" s="365" t="s">
        <v>48</v>
      </c>
      <c r="B26" s="366"/>
      <c r="C26" s="366"/>
      <c r="D26" s="366"/>
      <c r="E26" s="396"/>
    </row>
    <row r="27" spans="1:5" s="38" customFormat="1" x14ac:dyDescent="0.25">
      <c r="A27" s="257" t="s">
        <v>136</v>
      </c>
      <c r="B27" s="356" t="s">
        <v>196</v>
      </c>
      <c r="C27" s="372"/>
      <c r="D27" s="121" t="s">
        <v>10</v>
      </c>
      <c r="E27" s="122" t="s">
        <v>10</v>
      </c>
    </row>
    <row r="28" spans="1:5" s="38" customFormat="1" x14ac:dyDescent="0.25">
      <c r="A28" s="123" t="s">
        <v>0</v>
      </c>
      <c r="B28" s="124" t="s">
        <v>28</v>
      </c>
      <c r="C28" s="125">
        <f>1/12</f>
        <v>8.3299999999999999E-2</v>
      </c>
      <c r="D28" s="126">
        <f>(D25)*C28</f>
        <v>363.79</v>
      </c>
      <c r="E28" s="127">
        <f>(E25)*C28</f>
        <v>363.79</v>
      </c>
    </row>
    <row r="29" spans="1:5" s="38" customFormat="1" x14ac:dyDescent="0.25">
      <c r="A29" s="123" t="s">
        <v>2</v>
      </c>
      <c r="B29" s="124" t="s">
        <v>141</v>
      </c>
      <c r="C29" s="125">
        <v>0.1111</v>
      </c>
      <c r="D29" s="126">
        <f>(D25)*C29</f>
        <v>485.19</v>
      </c>
      <c r="E29" s="127">
        <f>(E25)*C29</f>
        <v>485.19</v>
      </c>
    </row>
    <row r="30" spans="1:5" x14ac:dyDescent="0.25">
      <c r="A30" s="342" t="s">
        <v>27</v>
      </c>
      <c r="B30" s="343"/>
      <c r="C30" s="128">
        <f>SUM(C28:C29)</f>
        <v>0.19439999999999999</v>
      </c>
      <c r="D30" s="63">
        <f>SUM(D28:D29)</f>
        <v>848.98</v>
      </c>
      <c r="E30" s="64">
        <f>SUM(E28:E29)</f>
        <v>848.98</v>
      </c>
    </row>
    <row r="31" spans="1:5" ht="32.25" customHeight="1" x14ac:dyDescent="0.25">
      <c r="A31" s="375" t="s">
        <v>181</v>
      </c>
      <c r="B31" s="376"/>
      <c r="C31" s="376"/>
      <c r="D31" s="376"/>
      <c r="E31" s="377"/>
    </row>
    <row r="32" spans="1:5" x14ac:dyDescent="0.25">
      <c r="A32" s="251" t="s">
        <v>136</v>
      </c>
      <c r="B32" s="373" t="s">
        <v>25</v>
      </c>
      <c r="C32" s="374"/>
      <c r="D32" s="129" t="s">
        <v>10</v>
      </c>
      <c r="E32" s="130" t="s">
        <v>10</v>
      </c>
    </row>
    <row r="33" spans="1:5" x14ac:dyDescent="0.25">
      <c r="A33" s="123" t="s">
        <v>0</v>
      </c>
      <c r="B33" s="131" t="s">
        <v>301</v>
      </c>
      <c r="C33" s="125">
        <v>0.2</v>
      </c>
      <c r="D33" s="126">
        <f t="shared" ref="D33:D40" si="0">($D$25+D$30)*C33</f>
        <v>1043.23</v>
      </c>
      <c r="E33" s="127">
        <f t="shared" ref="E33:E40" si="1">($E$25+E$30)*C33</f>
        <v>1043.23</v>
      </c>
    </row>
    <row r="34" spans="1:5" x14ac:dyDescent="0.25">
      <c r="A34" s="123" t="s">
        <v>2</v>
      </c>
      <c r="B34" s="131" t="s">
        <v>302</v>
      </c>
      <c r="C34" s="132">
        <v>2.5000000000000001E-2</v>
      </c>
      <c r="D34" s="126">
        <f t="shared" si="0"/>
        <v>130.4</v>
      </c>
      <c r="E34" s="127">
        <f t="shared" si="1"/>
        <v>130.4</v>
      </c>
    </row>
    <row r="35" spans="1:5" ht="45" x14ac:dyDescent="0.25">
      <c r="A35" s="123" t="s">
        <v>3</v>
      </c>
      <c r="B35" s="250" t="s">
        <v>303</v>
      </c>
      <c r="C35" s="132">
        <v>0.03</v>
      </c>
      <c r="D35" s="126">
        <f t="shared" si="0"/>
        <v>156.47999999999999</v>
      </c>
      <c r="E35" s="127">
        <f t="shared" si="1"/>
        <v>156.47999999999999</v>
      </c>
    </row>
    <row r="36" spans="1:5" x14ac:dyDescent="0.25">
      <c r="A36" s="123" t="s">
        <v>5</v>
      </c>
      <c r="B36" s="131" t="s">
        <v>304</v>
      </c>
      <c r="C36" s="132">
        <v>1.4999999999999999E-2</v>
      </c>
      <c r="D36" s="126">
        <f t="shared" si="0"/>
        <v>78.239999999999995</v>
      </c>
      <c r="E36" s="127">
        <f t="shared" si="1"/>
        <v>78.239999999999995</v>
      </c>
    </row>
    <row r="37" spans="1:5" x14ac:dyDescent="0.25">
      <c r="A37" s="123" t="s">
        <v>20</v>
      </c>
      <c r="B37" s="131" t="s">
        <v>305</v>
      </c>
      <c r="C37" s="132">
        <v>0.01</v>
      </c>
      <c r="D37" s="126">
        <f t="shared" si="0"/>
        <v>52.16</v>
      </c>
      <c r="E37" s="127">
        <f t="shared" si="1"/>
        <v>52.16</v>
      </c>
    </row>
    <row r="38" spans="1:5" x14ac:dyDescent="0.25">
      <c r="A38" s="123" t="s">
        <v>21</v>
      </c>
      <c r="B38" s="133" t="s">
        <v>199</v>
      </c>
      <c r="C38" s="132">
        <v>6.0000000000000001E-3</v>
      </c>
      <c r="D38" s="126">
        <f t="shared" si="0"/>
        <v>31.3</v>
      </c>
      <c r="E38" s="127">
        <f t="shared" si="1"/>
        <v>31.3</v>
      </c>
    </row>
    <row r="39" spans="1:5" ht="30" x14ac:dyDescent="0.25">
      <c r="A39" s="123" t="s">
        <v>22</v>
      </c>
      <c r="B39" s="250" t="s">
        <v>306</v>
      </c>
      <c r="C39" s="132">
        <v>2E-3</v>
      </c>
      <c r="D39" s="126">
        <f t="shared" si="0"/>
        <v>10.43</v>
      </c>
      <c r="E39" s="127">
        <f t="shared" si="1"/>
        <v>10.43</v>
      </c>
    </row>
    <row r="40" spans="1:5" x14ac:dyDescent="0.25">
      <c r="A40" s="123" t="s">
        <v>26</v>
      </c>
      <c r="B40" s="134" t="s">
        <v>198</v>
      </c>
      <c r="C40" s="132">
        <v>0.08</v>
      </c>
      <c r="D40" s="126">
        <f t="shared" si="0"/>
        <v>417.29</v>
      </c>
      <c r="E40" s="127">
        <f t="shared" si="1"/>
        <v>417.29</v>
      </c>
    </row>
    <row r="41" spans="1:5" s="30" customFormat="1" x14ac:dyDescent="0.25">
      <c r="A41" s="342" t="s">
        <v>27</v>
      </c>
      <c r="B41" s="343"/>
      <c r="C41" s="135">
        <f>SUM(C33:C40)</f>
        <v>0.36799999999999999</v>
      </c>
      <c r="D41" s="63">
        <f>SUM(D33:D40)</f>
        <v>1919.53</v>
      </c>
      <c r="E41" s="64">
        <f>SUM(E33:E40)</f>
        <v>1919.53</v>
      </c>
    </row>
    <row r="42" spans="1:5" s="30" customFormat="1" x14ac:dyDescent="0.25">
      <c r="A42" s="346" t="s">
        <v>165</v>
      </c>
      <c r="B42" s="347"/>
      <c r="C42" s="347"/>
      <c r="D42" s="347"/>
      <c r="E42" s="397"/>
    </row>
    <row r="43" spans="1:5" s="30" customFormat="1" x14ac:dyDescent="0.25">
      <c r="A43" s="138" t="s">
        <v>201</v>
      </c>
      <c r="B43" s="207" t="s">
        <v>202</v>
      </c>
      <c r="C43" s="139"/>
      <c r="D43" s="139"/>
      <c r="E43" s="140"/>
    </row>
    <row r="44" spans="1:5" s="30" customFormat="1" x14ac:dyDescent="0.25">
      <c r="A44" s="141" t="s">
        <v>0</v>
      </c>
      <c r="B44" s="142" t="s">
        <v>137</v>
      </c>
      <c r="C44" s="143"/>
      <c r="D44" s="144">
        <v>139.72</v>
      </c>
      <c r="E44" s="145">
        <v>139.72</v>
      </c>
    </row>
    <row r="45" spans="1:5" s="30" customFormat="1" x14ac:dyDescent="0.25">
      <c r="A45" s="146" t="s">
        <v>2</v>
      </c>
      <c r="B45" s="116" t="s">
        <v>182</v>
      </c>
      <c r="C45" s="147">
        <v>626.94000000000005</v>
      </c>
      <c r="D45" s="76">
        <f>C45-(C45*0.99%)</f>
        <v>620.73</v>
      </c>
      <c r="E45" s="148">
        <f>C45-(C45*0.99%)</f>
        <v>620.73</v>
      </c>
    </row>
    <row r="46" spans="1:5" s="30" customFormat="1" x14ac:dyDescent="0.25">
      <c r="A46" s="123" t="s">
        <v>3</v>
      </c>
      <c r="B46" s="124" t="s">
        <v>129</v>
      </c>
      <c r="C46" s="149"/>
      <c r="D46" s="143">
        <v>0</v>
      </c>
      <c r="E46" s="244">
        <v>0</v>
      </c>
    </row>
    <row r="47" spans="1:5" s="30" customFormat="1" x14ac:dyDescent="0.25">
      <c r="A47" s="123" t="s">
        <v>5</v>
      </c>
      <c r="B47" s="124" t="s">
        <v>130</v>
      </c>
      <c r="C47" s="125">
        <v>0.5</v>
      </c>
      <c r="D47" s="150">
        <f>(D18*C47*0.0199*2)/12</f>
        <v>5.51</v>
      </c>
      <c r="E47" s="151">
        <f>(E18*C47*0.0199*2)/12</f>
        <v>5.51</v>
      </c>
    </row>
    <row r="48" spans="1:5" s="30" customFormat="1" x14ac:dyDescent="0.25">
      <c r="A48" s="123" t="s">
        <v>20</v>
      </c>
      <c r="B48" s="124" t="s">
        <v>131</v>
      </c>
      <c r="C48" s="149"/>
      <c r="D48" s="285">
        <v>50.76</v>
      </c>
      <c r="E48" s="286">
        <v>50.76</v>
      </c>
    </row>
    <row r="49" spans="1:5" s="30" customFormat="1" ht="15.75" customHeight="1" x14ac:dyDescent="0.25">
      <c r="A49" s="342" t="s">
        <v>23</v>
      </c>
      <c r="B49" s="343"/>
      <c r="C49" s="343"/>
      <c r="D49" s="63">
        <f>SUM(D44:D48)</f>
        <v>816.72</v>
      </c>
      <c r="E49" s="64">
        <f>SUM(E44:E48)</f>
        <v>816.72</v>
      </c>
    </row>
    <row r="50" spans="1:5" s="30" customFormat="1" ht="15.75" customHeight="1" x14ac:dyDescent="0.25">
      <c r="A50" s="346" t="s">
        <v>209</v>
      </c>
      <c r="B50" s="347"/>
      <c r="C50" s="347"/>
      <c r="D50" s="347"/>
      <c r="E50" s="397"/>
    </row>
    <row r="51" spans="1:5" s="30" customFormat="1" ht="15.75" customHeight="1" x14ac:dyDescent="0.25">
      <c r="A51" s="259" t="s">
        <v>136</v>
      </c>
      <c r="B51" s="152" t="s">
        <v>138</v>
      </c>
      <c r="C51" s="260"/>
      <c r="D51" s="107">
        <f>D30</f>
        <v>848.98</v>
      </c>
      <c r="E51" s="108">
        <f>E30</f>
        <v>848.98</v>
      </c>
    </row>
    <row r="52" spans="1:5" s="30" customFormat="1" ht="15.75" customHeight="1" x14ac:dyDescent="0.25">
      <c r="A52" s="259" t="s">
        <v>200</v>
      </c>
      <c r="B52" s="152" t="s">
        <v>139</v>
      </c>
      <c r="C52" s="260"/>
      <c r="D52" s="107">
        <f>D41</f>
        <v>1919.53</v>
      </c>
      <c r="E52" s="108">
        <f>E41</f>
        <v>1919.53</v>
      </c>
    </row>
    <row r="53" spans="1:5" s="30" customFormat="1" ht="15.75" customHeight="1" x14ac:dyDescent="0.25">
      <c r="A53" s="259" t="s">
        <v>201</v>
      </c>
      <c r="B53" s="152" t="s">
        <v>140</v>
      </c>
      <c r="C53" s="260"/>
      <c r="D53" s="107">
        <f>D49</f>
        <v>816.72</v>
      </c>
      <c r="E53" s="108">
        <f>E49</f>
        <v>816.72</v>
      </c>
    </row>
    <row r="54" spans="1:5" s="30" customFormat="1" ht="15.75" customHeight="1" x14ac:dyDescent="0.25">
      <c r="A54" s="344" t="s">
        <v>146</v>
      </c>
      <c r="B54" s="345"/>
      <c r="C54" s="345"/>
      <c r="D54" s="117">
        <f>SUM(D51:D53)</f>
        <v>3585.23</v>
      </c>
      <c r="E54" s="118">
        <f>SUM(E51:E53)</f>
        <v>3585.23</v>
      </c>
    </row>
    <row r="55" spans="1:5" s="30" customFormat="1" ht="15.75" customHeight="1" x14ac:dyDescent="0.25">
      <c r="A55" s="365" t="s">
        <v>154</v>
      </c>
      <c r="B55" s="366"/>
      <c r="C55" s="366"/>
      <c r="D55" s="366"/>
      <c r="E55" s="396"/>
    </row>
    <row r="56" spans="1:5" s="30" customFormat="1" ht="15.75" customHeight="1" x14ac:dyDescent="0.25">
      <c r="A56" s="257" t="s">
        <v>191</v>
      </c>
      <c r="B56" s="356" t="s">
        <v>32</v>
      </c>
      <c r="C56" s="357"/>
      <c r="D56" s="121" t="s">
        <v>10</v>
      </c>
      <c r="E56" s="122" t="s">
        <v>10</v>
      </c>
    </row>
    <row r="57" spans="1:5" s="30" customFormat="1" ht="15.75" customHeight="1" x14ac:dyDescent="0.25">
      <c r="A57" s="123" t="s">
        <v>0</v>
      </c>
      <c r="B57" s="124" t="s">
        <v>33</v>
      </c>
      <c r="C57" s="125">
        <v>4.5999999999999999E-3</v>
      </c>
      <c r="D57" s="126">
        <f>D$25*C57</f>
        <v>20.09</v>
      </c>
      <c r="E57" s="127">
        <f>E$25*C57</f>
        <v>20.09</v>
      </c>
    </row>
    <row r="58" spans="1:5" s="30" customFormat="1" ht="15.75" customHeight="1" x14ac:dyDescent="0.25">
      <c r="A58" s="123" t="s">
        <v>2</v>
      </c>
      <c r="B58" s="124" t="s">
        <v>34</v>
      </c>
      <c r="C58" s="125">
        <v>4.0000000000000002E-4</v>
      </c>
      <c r="D58" s="126">
        <f>D$25*C58</f>
        <v>1.75</v>
      </c>
      <c r="E58" s="127">
        <f>E$25*C58</f>
        <v>1.75</v>
      </c>
    </row>
    <row r="59" spans="1:5" s="30" customFormat="1" ht="15.75" customHeight="1" x14ac:dyDescent="0.25">
      <c r="A59" s="123" t="s">
        <v>3</v>
      </c>
      <c r="B59" s="154" t="s">
        <v>35</v>
      </c>
      <c r="C59" s="125">
        <v>1.9400000000000001E-2</v>
      </c>
      <c r="D59" s="126">
        <f>D$25*C59</f>
        <v>84.72</v>
      </c>
      <c r="E59" s="127">
        <f>E$25*C59</f>
        <v>84.72</v>
      </c>
    </row>
    <row r="60" spans="1:5" s="30" customFormat="1" ht="30.75" customHeight="1" x14ac:dyDescent="0.25">
      <c r="A60" s="123" t="s">
        <v>5</v>
      </c>
      <c r="B60" s="124" t="s">
        <v>310</v>
      </c>
      <c r="C60" s="125">
        <v>7.7000000000000002E-3</v>
      </c>
      <c r="D60" s="126">
        <f>D$25*C60</f>
        <v>33.630000000000003</v>
      </c>
      <c r="E60" s="127">
        <f>E$25*C60</f>
        <v>33.630000000000003</v>
      </c>
    </row>
    <row r="61" spans="1:5" s="30" customFormat="1" ht="15.75" customHeight="1" x14ac:dyDescent="0.25">
      <c r="A61" s="123" t="s">
        <v>20</v>
      </c>
      <c r="B61" s="124" t="s">
        <v>142</v>
      </c>
      <c r="C61" s="125">
        <v>0.04</v>
      </c>
      <c r="D61" s="126">
        <f>D$25*C61</f>
        <v>174.69</v>
      </c>
      <c r="E61" s="127">
        <f>E$25*C61</f>
        <v>174.69</v>
      </c>
    </row>
    <row r="62" spans="1:5" s="30" customFormat="1" ht="15.75" customHeight="1" x14ac:dyDescent="0.25">
      <c r="A62" s="344" t="s">
        <v>147</v>
      </c>
      <c r="B62" s="345"/>
      <c r="C62" s="265">
        <f>SUM(C57:C61)</f>
        <v>7.2099999999999997E-2</v>
      </c>
      <c r="D62" s="117">
        <f>SUM(D57:D61)</f>
        <v>314.88</v>
      </c>
      <c r="E62" s="118">
        <f>SUM(E57:E61)</f>
        <v>314.88</v>
      </c>
    </row>
    <row r="63" spans="1:5" s="30" customFormat="1" x14ac:dyDescent="0.25">
      <c r="A63" s="365" t="s">
        <v>155</v>
      </c>
      <c r="B63" s="366"/>
      <c r="C63" s="366"/>
      <c r="D63" s="366"/>
      <c r="E63" s="396"/>
    </row>
    <row r="64" spans="1:5" s="30" customFormat="1" x14ac:dyDescent="0.25">
      <c r="A64" s="257" t="s">
        <v>190</v>
      </c>
      <c r="B64" s="358" t="s">
        <v>189</v>
      </c>
      <c r="C64" s="358"/>
      <c r="D64" s="121" t="s">
        <v>10</v>
      </c>
      <c r="E64" s="122" t="s">
        <v>10</v>
      </c>
    </row>
    <row r="65" spans="1:5" s="30" customFormat="1" x14ac:dyDescent="0.25">
      <c r="A65" s="123" t="s">
        <v>0</v>
      </c>
      <c r="B65" s="124" t="s">
        <v>183</v>
      </c>
      <c r="C65" s="125">
        <f>C29/12</f>
        <v>9.2999999999999992E-3</v>
      </c>
      <c r="D65" s="126">
        <f t="shared" ref="D65:D71" si="2">(D$25+D$54+D$62+D$86)*C65</f>
        <v>77.2</v>
      </c>
      <c r="E65" s="127">
        <f t="shared" ref="E65:E71" si="3">(E$25+E$54+E$62+E$86)*C65</f>
        <v>77.2</v>
      </c>
    </row>
    <row r="66" spans="1:5" s="30" customFormat="1" x14ac:dyDescent="0.25">
      <c r="A66" s="123" t="s">
        <v>2</v>
      </c>
      <c r="B66" s="124" t="s">
        <v>184</v>
      </c>
      <c r="C66" s="125">
        <v>1.3899999999999999E-2</v>
      </c>
      <c r="D66" s="126">
        <f t="shared" si="2"/>
        <v>115.39</v>
      </c>
      <c r="E66" s="127">
        <f t="shared" si="3"/>
        <v>115.39</v>
      </c>
    </row>
    <row r="67" spans="1:5" s="30" customFormat="1" x14ac:dyDescent="0.25">
      <c r="A67" s="123" t="s">
        <v>3</v>
      </c>
      <c r="B67" s="124" t="s">
        <v>187</v>
      </c>
      <c r="C67" s="125">
        <v>1.2999999999999999E-3</v>
      </c>
      <c r="D67" s="126">
        <f t="shared" si="2"/>
        <v>10.79</v>
      </c>
      <c r="E67" s="127">
        <f t="shared" si="3"/>
        <v>10.79</v>
      </c>
    </row>
    <row r="68" spans="1:5" s="30" customFormat="1" x14ac:dyDescent="0.25">
      <c r="A68" s="123" t="s">
        <v>5</v>
      </c>
      <c r="B68" s="124" t="s">
        <v>185</v>
      </c>
      <c r="C68" s="125">
        <v>2.0000000000000001E-4</v>
      </c>
      <c r="D68" s="126">
        <f t="shared" si="2"/>
        <v>1.66</v>
      </c>
      <c r="E68" s="127">
        <f t="shared" si="3"/>
        <v>1.66</v>
      </c>
    </row>
    <row r="69" spans="1:5" s="30" customFormat="1" x14ac:dyDescent="0.25">
      <c r="A69" s="123" t="s">
        <v>20</v>
      </c>
      <c r="B69" s="124" t="s">
        <v>299</v>
      </c>
      <c r="C69" s="125">
        <v>2.8E-3</v>
      </c>
      <c r="D69" s="126">
        <f t="shared" si="2"/>
        <v>23.24</v>
      </c>
      <c r="E69" s="127">
        <f t="shared" si="3"/>
        <v>23.24</v>
      </c>
    </row>
    <row r="70" spans="1:5" s="30" customFormat="1" x14ac:dyDescent="0.25">
      <c r="A70" s="123" t="s">
        <v>21</v>
      </c>
      <c r="B70" s="124" t="s">
        <v>186</v>
      </c>
      <c r="C70" s="125">
        <v>2.9999999999999997E-4</v>
      </c>
      <c r="D70" s="126">
        <f t="shared" si="2"/>
        <v>2.4900000000000002</v>
      </c>
      <c r="E70" s="127">
        <f t="shared" si="3"/>
        <v>2.4900000000000002</v>
      </c>
    </row>
    <row r="71" spans="1:5" s="30" customFormat="1" ht="15.75" customHeight="1" x14ac:dyDescent="0.25">
      <c r="A71" s="123" t="s">
        <v>22</v>
      </c>
      <c r="B71" s="256" t="s">
        <v>188</v>
      </c>
      <c r="C71" s="125">
        <v>0</v>
      </c>
      <c r="D71" s="126">
        <f t="shared" si="2"/>
        <v>0</v>
      </c>
      <c r="E71" s="127">
        <f t="shared" si="3"/>
        <v>0</v>
      </c>
    </row>
    <row r="72" spans="1:5" s="30" customFormat="1" x14ac:dyDescent="0.25">
      <c r="A72" s="342" t="s">
        <v>29</v>
      </c>
      <c r="B72" s="343"/>
      <c r="C72" s="135">
        <f>SUM(C65:C71)</f>
        <v>2.7799999999999998E-2</v>
      </c>
      <c r="D72" s="63">
        <f>SUM(D65:D71)</f>
        <v>230.77</v>
      </c>
      <c r="E72" s="64">
        <f>SUM(E65:E71)</f>
        <v>230.77</v>
      </c>
    </row>
    <row r="73" spans="1:5" s="30" customFormat="1" x14ac:dyDescent="0.25">
      <c r="A73" s="259"/>
      <c r="B73" s="260"/>
      <c r="C73" s="155"/>
      <c r="D73" s="155"/>
      <c r="E73" s="148"/>
    </row>
    <row r="74" spans="1:5" s="30" customFormat="1" x14ac:dyDescent="0.25">
      <c r="A74" s="259"/>
      <c r="B74" s="354" t="s">
        <v>192</v>
      </c>
      <c r="C74" s="355"/>
      <c r="D74" s="121" t="s">
        <v>10</v>
      </c>
      <c r="E74" s="122" t="s">
        <v>10</v>
      </c>
    </row>
    <row r="75" spans="1:5" s="30" customFormat="1" x14ac:dyDescent="0.25">
      <c r="A75" s="123" t="s">
        <v>0</v>
      </c>
      <c r="B75" s="124" t="s">
        <v>193</v>
      </c>
      <c r="C75" s="125">
        <v>0</v>
      </c>
      <c r="D75" s="126">
        <f>(D$25+D$54+D$62)*C75</f>
        <v>0</v>
      </c>
      <c r="E75" s="127">
        <f>(E$25+E$54+E$62)*C75</f>
        <v>0</v>
      </c>
    </row>
    <row r="76" spans="1:5" s="30" customFormat="1" ht="15.75" customHeight="1" x14ac:dyDescent="0.25">
      <c r="A76" s="342" t="s">
        <v>27</v>
      </c>
      <c r="B76" s="343"/>
      <c r="C76" s="156">
        <f>C75</f>
        <v>0</v>
      </c>
      <c r="D76" s="63">
        <f>D75</f>
        <v>0</v>
      </c>
      <c r="E76" s="64">
        <f>E75</f>
        <v>0</v>
      </c>
    </row>
    <row r="77" spans="1:5" s="30" customFormat="1" ht="15.75" customHeight="1" x14ac:dyDescent="0.25">
      <c r="A77" s="346" t="s">
        <v>30</v>
      </c>
      <c r="B77" s="347"/>
      <c r="C77" s="347"/>
      <c r="D77" s="347"/>
      <c r="E77" s="397"/>
    </row>
    <row r="78" spans="1:5" s="30" customFormat="1" ht="15.75" customHeight="1" x14ac:dyDescent="0.25">
      <c r="A78" s="390" t="s">
        <v>194</v>
      </c>
      <c r="B78" s="391"/>
      <c r="C78" s="391"/>
      <c r="D78" s="391"/>
      <c r="E78" s="398"/>
    </row>
    <row r="79" spans="1:5" s="30" customFormat="1" ht="15.75" customHeight="1" x14ac:dyDescent="0.25">
      <c r="A79" s="257">
        <v>4</v>
      </c>
      <c r="B79" s="356" t="s">
        <v>31</v>
      </c>
      <c r="C79" s="357"/>
      <c r="D79" s="121" t="s">
        <v>10</v>
      </c>
      <c r="E79" s="122" t="s">
        <v>10</v>
      </c>
    </row>
    <row r="80" spans="1:5" s="30" customFormat="1" ht="15.75" customHeight="1" x14ac:dyDescent="0.25">
      <c r="A80" s="123" t="s">
        <v>190</v>
      </c>
      <c r="B80" s="256" t="s">
        <v>189</v>
      </c>
      <c r="C80" s="125">
        <f>C72</f>
        <v>2.7799999999999998E-2</v>
      </c>
      <c r="D80" s="126">
        <f>D72</f>
        <v>230.77</v>
      </c>
      <c r="E80" s="127">
        <f>E72</f>
        <v>230.77</v>
      </c>
    </row>
    <row r="81" spans="1:5" s="30" customFormat="1" ht="15.75" customHeight="1" x14ac:dyDescent="0.25">
      <c r="A81" s="123" t="s">
        <v>206</v>
      </c>
      <c r="B81" s="256" t="s">
        <v>192</v>
      </c>
      <c r="C81" s="125">
        <v>0</v>
      </c>
      <c r="D81" s="126">
        <f>(D$25+D$54+D$62)*C81</f>
        <v>0</v>
      </c>
      <c r="E81" s="127">
        <f>(E$25+E$54+E$62)*C81</f>
        <v>0</v>
      </c>
    </row>
    <row r="82" spans="1:5" s="30" customFormat="1" ht="15.75" customHeight="1" x14ac:dyDescent="0.25">
      <c r="A82" s="342" t="s">
        <v>27</v>
      </c>
      <c r="B82" s="343"/>
      <c r="C82" s="128">
        <f>SUM(C80:C81)</f>
        <v>2.7799999999999998E-2</v>
      </c>
      <c r="D82" s="63">
        <f>SUM(D80:D81)</f>
        <v>230.77</v>
      </c>
      <c r="E82" s="64">
        <f>SUM(E80:E81)</f>
        <v>230.77</v>
      </c>
    </row>
    <row r="83" spans="1:5" s="30" customFormat="1" ht="15.75" customHeight="1" x14ac:dyDescent="0.25">
      <c r="A83" s="344" t="s">
        <v>148</v>
      </c>
      <c r="B83" s="345"/>
      <c r="C83" s="345"/>
      <c r="D83" s="117">
        <f>SUM(D76+D82)</f>
        <v>230.77</v>
      </c>
      <c r="E83" s="118">
        <f>SUM(E76+E82)</f>
        <v>230.77</v>
      </c>
    </row>
    <row r="84" spans="1:5" s="30" customFormat="1" ht="15.75" customHeight="1" x14ac:dyDescent="0.25">
      <c r="A84" s="365" t="s">
        <v>156</v>
      </c>
      <c r="B84" s="366"/>
      <c r="C84" s="366"/>
      <c r="D84" s="366"/>
      <c r="E84" s="396"/>
    </row>
    <row r="85" spans="1:5" s="30" customFormat="1" ht="15.75" customHeight="1" x14ac:dyDescent="0.25">
      <c r="A85" s="257">
        <v>5</v>
      </c>
      <c r="B85" s="356" t="s">
        <v>24</v>
      </c>
      <c r="C85" s="357"/>
      <c r="D85" s="121" t="s">
        <v>10</v>
      </c>
      <c r="E85" s="122" t="s">
        <v>10</v>
      </c>
    </row>
    <row r="86" spans="1:5" s="30" customFormat="1" ht="15.75" customHeight="1" x14ac:dyDescent="0.25">
      <c r="A86" s="146" t="s">
        <v>0</v>
      </c>
      <c r="B86" s="378" t="s">
        <v>207</v>
      </c>
      <c r="C86" s="378"/>
      <c r="D86" s="126">
        <f>Uniformes!H7</f>
        <v>33.93</v>
      </c>
      <c r="E86" s="127">
        <f>Uniformes!H7</f>
        <v>33.93</v>
      </c>
    </row>
    <row r="87" spans="1:5" s="30" customFormat="1" ht="15.75" customHeight="1" x14ac:dyDescent="0.25">
      <c r="A87" s="146" t="s">
        <v>2</v>
      </c>
      <c r="B87" s="378" t="s">
        <v>208</v>
      </c>
      <c r="C87" s="378"/>
      <c r="D87" s="126">
        <f>Materiais!H18</f>
        <v>58.98</v>
      </c>
      <c r="E87" s="127">
        <f>Materiais!H20</f>
        <v>58.98</v>
      </c>
    </row>
    <row r="88" spans="1:5" s="30" customFormat="1" ht="15.75" customHeight="1" x14ac:dyDescent="0.25">
      <c r="A88" s="146" t="s">
        <v>3</v>
      </c>
      <c r="B88" s="378" t="s">
        <v>178</v>
      </c>
      <c r="C88" s="378"/>
      <c r="D88" s="76">
        <f>Equipamentos!H18</f>
        <v>1107.97</v>
      </c>
      <c r="E88" s="148">
        <f>Equipamentos!H20</f>
        <v>1107.97</v>
      </c>
    </row>
    <row r="89" spans="1:5" s="30" customFormat="1" ht="15.75" customHeight="1" x14ac:dyDescent="0.25">
      <c r="A89" s="146" t="s">
        <v>5</v>
      </c>
      <c r="B89" s="378" t="s">
        <v>132</v>
      </c>
      <c r="C89" s="378"/>
      <c r="D89" s="126">
        <v>0</v>
      </c>
      <c r="E89" s="127">
        <v>0</v>
      </c>
    </row>
    <row r="90" spans="1:5" s="30" customFormat="1" ht="15.75" customHeight="1" x14ac:dyDescent="0.25">
      <c r="A90" s="344" t="s">
        <v>149</v>
      </c>
      <c r="B90" s="345"/>
      <c r="C90" s="345"/>
      <c r="D90" s="117">
        <f>SUM(D86:D89)</f>
        <v>1200.8800000000001</v>
      </c>
      <c r="E90" s="118">
        <f>SUM(E86:E89)</f>
        <v>1200.8800000000001</v>
      </c>
    </row>
    <row r="91" spans="1:5" s="30" customFormat="1" ht="30" customHeight="1" x14ac:dyDescent="0.25">
      <c r="A91" s="348" t="s">
        <v>210</v>
      </c>
      <c r="B91" s="349"/>
      <c r="C91" s="349"/>
      <c r="D91" s="159">
        <f>D90+D83+D62+D54+D25</f>
        <v>9698.93</v>
      </c>
      <c r="E91" s="160">
        <f>E90+E83+E62+E54+E25</f>
        <v>9698.93</v>
      </c>
    </row>
    <row r="92" spans="1:5" s="30" customFormat="1" ht="19.5" customHeight="1" x14ac:dyDescent="0.25">
      <c r="A92" s="365" t="s">
        <v>157</v>
      </c>
      <c r="B92" s="366"/>
      <c r="C92" s="366"/>
      <c r="D92" s="366"/>
      <c r="E92" s="396"/>
    </row>
    <row r="93" spans="1:5" s="30" customFormat="1" x14ac:dyDescent="0.25">
      <c r="A93" s="257">
        <v>6</v>
      </c>
      <c r="B93" s="356" t="s">
        <v>38</v>
      </c>
      <c r="C93" s="372"/>
      <c r="D93" s="121" t="s">
        <v>10</v>
      </c>
      <c r="E93" s="122" t="s">
        <v>10</v>
      </c>
    </row>
    <row r="94" spans="1:5" s="30" customFormat="1" x14ac:dyDescent="0.25">
      <c r="A94" s="123" t="s">
        <v>0</v>
      </c>
      <c r="B94" s="124" t="s">
        <v>39</v>
      </c>
      <c r="C94" s="161">
        <v>0.05</v>
      </c>
      <c r="D94" s="126">
        <f>+D91*C94</f>
        <v>484.95</v>
      </c>
      <c r="E94" s="127">
        <f>+E91*C94</f>
        <v>484.95</v>
      </c>
    </row>
    <row r="95" spans="1:5" s="30" customFormat="1" x14ac:dyDescent="0.25">
      <c r="A95" s="123" t="s">
        <v>2</v>
      </c>
      <c r="B95" s="124" t="s">
        <v>40</v>
      </c>
      <c r="C95" s="161">
        <v>0.1</v>
      </c>
      <c r="D95" s="126">
        <f>C95*(+D91+D94)</f>
        <v>1018.39</v>
      </c>
      <c r="E95" s="127">
        <f>C95*(+E91+E94)</f>
        <v>1018.39</v>
      </c>
    </row>
    <row r="96" spans="1:5" s="30" customFormat="1" ht="30" x14ac:dyDescent="0.25">
      <c r="A96" s="123"/>
      <c r="B96" s="124" t="s">
        <v>47</v>
      </c>
      <c r="C96" s="125">
        <f>1-C103</f>
        <v>0.85750000000000004</v>
      </c>
      <c r="D96" s="126">
        <f>+D91+D94+D95</f>
        <v>11202.27</v>
      </c>
      <c r="E96" s="127">
        <f>+E91+E94+E95</f>
        <v>11202.27</v>
      </c>
    </row>
    <row r="97" spans="1:5" s="30" customFormat="1" x14ac:dyDescent="0.25">
      <c r="A97" s="123"/>
      <c r="B97" s="256"/>
      <c r="C97" s="40"/>
      <c r="D97" s="162">
        <f>+D96/C96</f>
        <v>13063.87</v>
      </c>
      <c r="E97" s="163">
        <f>+E96/C96</f>
        <v>13063.87</v>
      </c>
    </row>
    <row r="98" spans="1:5" s="30" customFormat="1" x14ac:dyDescent="0.25">
      <c r="A98" s="123" t="s">
        <v>3</v>
      </c>
      <c r="B98" s="256" t="s">
        <v>41</v>
      </c>
      <c r="C98" s="164">
        <f>C100+C101+C102</f>
        <v>0.14249999999999999</v>
      </c>
      <c r="D98" s="162"/>
      <c r="E98" s="163"/>
    </row>
    <row r="99" spans="1:5" s="30" customFormat="1" x14ac:dyDescent="0.25">
      <c r="A99" s="123" t="s">
        <v>292</v>
      </c>
      <c r="B99" s="256" t="s">
        <v>288</v>
      </c>
      <c r="C99" s="206">
        <f>C100+C101</f>
        <v>9.2499999999999999E-2</v>
      </c>
      <c r="D99" s="126"/>
      <c r="E99" s="127"/>
    </row>
    <row r="100" spans="1:5" s="30" customFormat="1" x14ac:dyDescent="0.25">
      <c r="A100" s="123" t="s">
        <v>293</v>
      </c>
      <c r="B100" s="124" t="s">
        <v>289</v>
      </c>
      <c r="C100" s="125">
        <v>1.6500000000000001E-2</v>
      </c>
      <c r="D100" s="126">
        <f>+D97*C100</f>
        <v>215.55</v>
      </c>
      <c r="E100" s="127">
        <f>+E97*C100</f>
        <v>215.55</v>
      </c>
    </row>
    <row r="101" spans="1:5" s="30" customFormat="1" x14ac:dyDescent="0.25">
      <c r="A101" s="123" t="s">
        <v>294</v>
      </c>
      <c r="B101" s="124" t="s">
        <v>290</v>
      </c>
      <c r="C101" s="125">
        <v>7.5999999999999998E-2</v>
      </c>
      <c r="D101" s="126">
        <f>+D97*C101</f>
        <v>992.85</v>
      </c>
      <c r="E101" s="127">
        <f>+E97*C101</f>
        <v>992.85</v>
      </c>
    </row>
    <row r="102" spans="1:5" s="30" customFormat="1" x14ac:dyDescent="0.25">
      <c r="A102" s="123" t="s">
        <v>295</v>
      </c>
      <c r="B102" s="124" t="s">
        <v>291</v>
      </c>
      <c r="C102" s="125">
        <v>0.05</v>
      </c>
      <c r="D102" s="126">
        <f>+D97*C102</f>
        <v>653.19000000000005</v>
      </c>
      <c r="E102" s="127">
        <f>+E97*C102</f>
        <v>653.19000000000005</v>
      </c>
    </row>
    <row r="103" spans="1:5" s="30" customFormat="1" x14ac:dyDescent="0.25">
      <c r="A103" s="257"/>
      <c r="B103" s="157" t="s">
        <v>42</v>
      </c>
      <c r="C103" s="165">
        <f>C98</f>
        <v>0.14249999999999999</v>
      </c>
      <c r="D103" s="126">
        <f>SUM(D100:D102)</f>
        <v>1861.59</v>
      </c>
      <c r="E103" s="127">
        <f>SUM(E100:E102)</f>
        <v>1861.59</v>
      </c>
    </row>
    <row r="104" spans="1:5" s="30" customFormat="1" ht="15.75" customHeight="1" x14ac:dyDescent="0.25">
      <c r="A104" s="342" t="s">
        <v>43</v>
      </c>
      <c r="B104" s="343"/>
      <c r="C104" s="343"/>
      <c r="D104" s="63">
        <f>+D94+D95+D103</f>
        <v>3364.93</v>
      </c>
      <c r="E104" s="64">
        <f>+E94+E95+E103</f>
        <v>3364.93</v>
      </c>
    </row>
    <row r="105" spans="1:5" s="30" customFormat="1" ht="15.75" customHeight="1" x14ac:dyDescent="0.25">
      <c r="A105" s="388" t="s">
        <v>44</v>
      </c>
      <c r="B105" s="389"/>
      <c r="C105" s="389"/>
      <c r="D105" s="168" t="s">
        <v>10</v>
      </c>
      <c r="E105" s="169" t="s">
        <v>10</v>
      </c>
    </row>
    <row r="106" spans="1:5" s="30" customFormat="1" x14ac:dyDescent="0.25">
      <c r="A106" s="123" t="s">
        <v>0</v>
      </c>
      <c r="B106" s="362" t="s">
        <v>45</v>
      </c>
      <c r="C106" s="362"/>
      <c r="D106" s="126">
        <f>+D25</f>
        <v>4367.17</v>
      </c>
      <c r="E106" s="127">
        <f>+E25</f>
        <v>4367.17</v>
      </c>
    </row>
    <row r="107" spans="1:5" s="30" customFormat="1" x14ac:dyDescent="0.25">
      <c r="A107" s="123" t="s">
        <v>2</v>
      </c>
      <c r="B107" s="362" t="s">
        <v>152</v>
      </c>
      <c r="C107" s="362"/>
      <c r="D107" s="126">
        <f>+D54</f>
        <v>3585.23</v>
      </c>
      <c r="E107" s="127">
        <f>+E54</f>
        <v>3585.23</v>
      </c>
    </row>
    <row r="108" spans="1:5" s="30" customFormat="1" x14ac:dyDescent="0.25">
      <c r="A108" s="123" t="s">
        <v>3</v>
      </c>
      <c r="B108" s="362" t="s">
        <v>150</v>
      </c>
      <c r="C108" s="362"/>
      <c r="D108" s="126">
        <f>D62</f>
        <v>314.88</v>
      </c>
      <c r="E108" s="127">
        <f>E62</f>
        <v>314.88</v>
      </c>
    </row>
    <row r="109" spans="1:5" s="30" customFormat="1" x14ac:dyDescent="0.25">
      <c r="A109" s="123" t="s">
        <v>5</v>
      </c>
      <c r="B109" s="362" t="s">
        <v>143</v>
      </c>
      <c r="C109" s="362"/>
      <c r="D109" s="126">
        <f>D83</f>
        <v>230.77</v>
      </c>
      <c r="E109" s="127">
        <f>E83</f>
        <v>230.77</v>
      </c>
    </row>
    <row r="110" spans="1:5" s="30" customFormat="1" x14ac:dyDescent="0.25">
      <c r="A110" s="123" t="s">
        <v>20</v>
      </c>
      <c r="B110" s="362" t="s">
        <v>151</v>
      </c>
      <c r="C110" s="362"/>
      <c r="D110" s="126">
        <f>D90</f>
        <v>1200.8800000000001</v>
      </c>
      <c r="E110" s="127">
        <f>E90</f>
        <v>1200.8800000000001</v>
      </c>
    </row>
    <row r="111" spans="1:5" s="30" customFormat="1" ht="15.75" customHeight="1" x14ac:dyDescent="0.25">
      <c r="A111" s="363" t="s">
        <v>296</v>
      </c>
      <c r="B111" s="364"/>
      <c r="C111" s="364"/>
      <c r="D111" s="166">
        <f>SUM(D106:D110)</f>
        <v>9698.93</v>
      </c>
      <c r="E111" s="167">
        <f>SUM(E106:E110)</f>
        <v>9698.93</v>
      </c>
    </row>
    <row r="112" spans="1:5" s="30" customFormat="1" x14ac:dyDescent="0.25">
      <c r="A112" s="123" t="s">
        <v>21</v>
      </c>
      <c r="B112" s="362" t="s">
        <v>153</v>
      </c>
      <c r="C112" s="362"/>
      <c r="D112" s="126">
        <f>+D104</f>
        <v>3364.93</v>
      </c>
      <c r="E112" s="127">
        <f>+E104</f>
        <v>3364.93</v>
      </c>
    </row>
    <row r="113" spans="1:5" s="30" customFormat="1" ht="16.5" customHeight="1" thickBot="1" x14ac:dyDescent="0.3">
      <c r="A113" s="370" t="s">
        <v>46</v>
      </c>
      <c r="B113" s="371"/>
      <c r="C113" s="371"/>
      <c r="D113" s="170">
        <f>+D111+D112</f>
        <v>13063.86</v>
      </c>
      <c r="E113" s="171">
        <f>+E111+E112</f>
        <v>13063.86</v>
      </c>
    </row>
    <row r="114" spans="1:5" x14ac:dyDescent="0.25">
      <c r="C114" s="31"/>
      <c r="D114" s="31"/>
      <c r="E114" s="33"/>
    </row>
    <row r="115" spans="1:5" x14ac:dyDescent="0.25">
      <c r="B115" s="28"/>
      <c r="C115" s="31"/>
      <c r="D115" s="31"/>
      <c r="E115" s="34"/>
    </row>
    <row r="116" spans="1:5" x14ac:dyDescent="0.25">
      <c r="B116" s="28"/>
      <c r="C116" s="31"/>
      <c r="D116" s="31"/>
      <c r="E116" s="34" t="s">
        <v>126</v>
      </c>
    </row>
    <row r="117" spans="1:5" x14ac:dyDescent="0.25">
      <c r="B117" s="28"/>
      <c r="C117" s="359"/>
      <c r="D117" s="359"/>
      <c r="E117" s="359"/>
    </row>
    <row r="118" spans="1:5" x14ac:dyDescent="0.25">
      <c r="B118" s="28"/>
      <c r="C118" s="31"/>
      <c r="D118" s="31"/>
      <c r="E118" s="35"/>
    </row>
    <row r="120" spans="1:5" x14ac:dyDescent="0.25">
      <c r="B120" s="36"/>
    </row>
    <row r="125" spans="1:5" x14ac:dyDescent="0.25">
      <c r="B125" s="28"/>
    </row>
  </sheetData>
  <mergeCells count="62">
    <mergeCell ref="C6:E6"/>
    <mergeCell ref="A1:E1"/>
    <mergeCell ref="A2:E2"/>
    <mergeCell ref="A3:E3"/>
    <mergeCell ref="C4:E4"/>
    <mergeCell ref="C5:E5"/>
    <mergeCell ref="A25:C25"/>
    <mergeCell ref="C7:E7"/>
    <mergeCell ref="A8:E8"/>
    <mergeCell ref="A9:E9"/>
    <mergeCell ref="A10:E10"/>
    <mergeCell ref="C12:E12"/>
    <mergeCell ref="C13:E13"/>
    <mergeCell ref="C14:E14"/>
    <mergeCell ref="C15:E15"/>
    <mergeCell ref="A16:C16"/>
    <mergeCell ref="B17:C17"/>
    <mergeCell ref="A11:D11"/>
    <mergeCell ref="A62:B62"/>
    <mergeCell ref="B56:C56"/>
    <mergeCell ref="A26:E26"/>
    <mergeCell ref="B27:C27"/>
    <mergeCell ref="A30:B30"/>
    <mergeCell ref="A31:E31"/>
    <mergeCell ref="B32:C32"/>
    <mergeCell ref="A41:B41"/>
    <mergeCell ref="A42:E42"/>
    <mergeCell ref="A49:C49"/>
    <mergeCell ref="A50:E50"/>
    <mergeCell ref="A54:C54"/>
    <mergeCell ref="A55:E55"/>
    <mergeCell ref="A84:E84"/>
    <mergeCell ref="A63:E63"/>
    <mergeCell ref="B64:C64"/>
    <mergeCell ref="A72:B72"/>
    <mergeCell ref="B74:C74"/>
    <mergeCell ref="A76:B76"/>
    <mergeCell ref="A77:E77"/>
    <mergeCell ref="A78:E78"/>
    <mergeCell ref="B79:C79"/>
    <mergeCell ref="A82:B82"/>
    <mergeCell ref="A83:C83"/>
    <mergeCell ref="A105:C105"/>
    <mergeCell ref="B85:C85"/>
    <mergeCell ref="B86:C86"/>
    <mergeCell ref="B87:C87"/>
    <mergeCell ref="B88:C88"/>
    <mergeCell ref="B89:C89"/>
    <mergeCell ref="A90:C90"/>
    <mergeCell ref="A91:C91"/>
    <mergeCell ref="A92:E92"/>
    <mergeCell ref="B93:C93"/>
    <mergeCell ref="A104:C104"/>
    <mergeCell ref="B112:C112"/>
    <mergeCell ref="A113:C113"/>
    <mergeCell ref="C117:E117"/>
    <mergeCell ref="B106:C106"/>
    <mergeCell ref="B107:C107"/>
    <mergeCell ref="B108:C108"/>
    <mergeCell ref="B109:C109"/>
    <mergeCell ref="B110:C110"/>
    <mergeCell ref="A111:C111"/>
  </mergeCells>
  <hyperlinks>
    <hyperlink ref="B38" r:id="rId1" display="08 - Sebrae 0,3% ou 0,6% - IN nº 03, MPS/SRP/2005, Anexo II e III ver código da Tabela" xr:uid="{00000000-0004-0000-0600-000000000000}"/>
  </hyperlinks>
  <pageMargins left="0.511811024" right="0.511811024" top="0.78740157499999996" bottom="0.78740157499999996" header="0.31496062000000002" footer="0.31496062000000002"/>
  <pageSetup paperSize="9" scale="36" orientation="portrait"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E124"/>
  <sheetViews>
    <sheetView view="pageBreakPreview" topLeftCell="A95" zoomScaleNormal="115" zoomScaleSheetLayoutView="100" workbookViewId="0">
      <selection activeCell="E21" sqref="E21"/>
    </sheetView>
  </sheetViews>
  <sheetFormatPr defaultColWidth="9.140625" defaultRowHeight="15.75" x14ac:dyDescent="0.25"/>
  <cols>
    <col min="1" max="1" width="8.7109375" style="29" customWidth="1"/>
    <col min="2" max="2" width="72.5703125" style="31" customWidth="1"/>
    <col min="3" max="4" width="15.7109375" style="32" customWidth="1"/>
    <col min="5" max="5" width="15.7109375" style="28" customWidth="1"/>
    <col min="6" max="6" width="9.140625" style="28" customWidth="1"/>
    <col min="7" max="16384" width="9.140625" style="28"/>
  </cols>
  <sheetData>
    <row r="1" spans="1:5" x14ac:dyDescent="0.25">
      <c r="A1" s="331"/>
      <c r="B1" s="332"/>
      <c r="C1" s="332"/>
      <c r="D1" s="332"/>
      <c r="E1" s="333"/>
    </row>
    <row r="2" spans="1:5" s="38" customFormat="1" ht="16.5" customHeight="1" x14ac:dyDescent="0.25">
      <c r="A2" s="367" t="s">
        <v>127</v>
      </c>
      <c r="B2" s="368"/>
      <c r="C2" s="368"/>
      <c r="D2" s="368"/>
      <c r="E2" s="369"/>
    </row>
    <row r="3" spans="1:5" s="38" customFormat="1" x14ac:dyDescent="0.25">
      <c r="A3" s="325" t="s">
        <v>126</v>
      </c>
      <c r="B3" s="326"/>
      <c r="C3" s="326"/>
      <c r="D3" s="326"/>
      <c r="E3" s="327"/>
    </row>
    <row r="4" spans="1:5" s="38" customFormat="1" ht="15" customHeight="1" x14ac:dyDescent="0.25">
      <c r="A4" s="74" t="s">
        <v>0</v>
      </c>
      <c r="B4" s="102" t="s">
        <v>1</v>
      </c>
      <c r="C4" s="334">
        <v>2025</v>
      </c>
      <c r="D4" s="334"/>
      <c r="E4" s="335"/>
    </row>
    <row r="5" spans="1:5" s="38" customFormat="1" ht="75" customHeight="1" x14ac:dyDescent="0.25">
      <c r="A5" s="74" t="s">
        <v>2</v>
      </c>
      <c r="B5" s="102" t="s">
        <v>135</v>
      </c>
      <c r="C5" s="336" t="s">
        <v>242</v>
      </c>
      <c r="D5" s="336"/>
      <c r="E5" s="337"/>
    </row>
    <row r="6" spans="1:5" s="38" customFormat="1" ht="15.75" customHeight="1" x14ac:dyDescent="0.25">
      <c r="A6" s="74" t="s">
        <v>3</v>
      </c>
      <c r="B6" s="102" t="s">
        <v>4</v>
      </c>
      <c r="C6" s="336" t="s">
        <v>245</v>
      </c>
      <c r="D6" s="336"/>
      <c r="E6" s="337"/>
    </row>
    <row r="7" spans="1:5" s="38" customFormat="1" x14ac:dyDescent="0.25">
      <c r="A7" s="74" t="s">
        <v>5</v>
      </c>
      <c r="B7" s="102" t="s">
        <v>300</v>
      </c>
      <c r="C7" s="336">
        <v>12</v>
      </c>
      <c r="D7" s="336"/>
      <c r="E7" s="337"/>
    </row>
    <row r="8" spans="1:5" s="38" customFormat="1" x14ac:dyDescent="0.25">
      <c r="A8" s="325" t="s">
        <v>6</v>
      </c>
      <c r="B8" s="326"/>
      <c r="C8" s="326"/>
      <c r="D8" s="326"/>
      <c r="E8" s="327"/>
    </row>
    <row r="9" spans="1:5" s="38" customFormat="1" x14ac:dyDescent="0.25">
      <c r="A9" s="325" t="s">
        <v>7</v>
      </c>
      <c r="B9" s="326"/>
      <c r="C9" s="326"/>
      <c r="D9" s="326"/>
      <c r="E9" s="327"/>
    </row>
    <row r="10" spans="1:5" s="38" customFormat="1" ht="15.75" customHeight="1" x14ac:dyDescent="0.25">
      <c r="A10" s="325" t="s">
        <v>8</v>
      </c>
      <c r="B10" s="326"/>
      <c r="C10" s="326"/>
      <c r="D10" s="326"/>
      <c r="E10" s="327"/>
    </row>
    <row r="11" spans="1:5" s="38" customFormat="1" ht="30" customHeight="1" x14ac:dyDescent="0.25">
      <c r="A11" s="328" t="s">
        <v>9</v>
      </c>
      <c r="B11" s="329"/>
      <c r="C11" s="329"/>
      <c r="D11" s="394" t="s">
        <v>10</v>
      </c>
      <c r="E11" s="395"/>
    </row>
    <row r="12" spans="1:5" s="38" customFormat="1" ht="60" customHeight="1" x14ac:dyDescent="0.25">
      <c r="A12" s="74">
        <v>1</v>
      </c>
      <c r="B12" s="247" t="s">
        <v>128</v>
      </c>
      <c r="C12" s="381" t="s">
        <v>243</v>
      </c>
      <c r="D12" s="381"/>
      <c r="E12" s="382"/>
    </row>
    <row r="13" spans="1:5" s="38" customFormat="1" ht="30" customHeight="1" x14ac:dyDescent="0.25">
      <c r="A13" s="74">
        <v>2</v>
      </c>
      <c r="B13" s="247" t="s">
        <v>11</v>
      </c>
      <c r="C13" s="392">
        <v>4750</v>
      </c>
      <c r="D13" s="392"/>
      <c r="E13" s="393"/>
    </row>
    <row r="14" spans="1:5" s="38" customFormat="1" ht="15.75" customHeight="1" x14ac:dyDescent="0.25">
      <c r="A14" s="74">
        <v>3</v>
      </c>
      <c r="B14" s="247" t="s">
        <v>12</v>
      </c>
      <c r="C14" s="381" t="s">
        <v>217</v>
      </c>
      <c r="D14" s="381"/>
      <c r="E14" s="382"/>
    </row>
    <row r="15" spans="1:5" s="38" customFormat="1" x14ac:dyDescent="0.25">
      <c r="A15" s="74">
        <v>4</v>
      </c>
      <c r="B15" s="248" t="s">
        <v>13</v>
      </c>
      <c r="C15" s="383">
        <v>2025</v>
      </c>
      <c r="D15" s="383"/>
      <c r="E15" s="384"/>
    </row>
    <row r="16" spans="1:5" s="39" customFormat="1" ht="30" x14ac:dyDescent="0.25">
      <c r="A16" s="346" t="s">
        <v>14</v>
      </c>
      <c r="B16" s="347"/>
      <c r="C16" s="347"/>
      <c r="D16" s="252" t="s">
        <v>250</v>
      </c>
      <c r="E16" s="264" t="s">
        <v>249</v>
      </c>
    </row>
    <row r="17" spans="1:5" s="39" customFormat="1" x14ac:dyDescent="0.25">
      <c r="A17" s="259">
        <v>1</v>
      </c>
      <c r="B17" s="354" t="s">
        <v>15</v>
      </c>
      <c r="C17" s="354"/>
      <c r="D17" s="103" t="s">
        <v>10</v>
      </c>
      <c r="E17" s="104" t="s">
        <v>10</v>
      </c>
    </row>
    <row r="18" spans="1:5" s="38" customFormat="1" ht="15.75" customHeight="1" x14ac:dyDescent="0.25">
      <c r="A18" s="105" t="s">
        <v>0</v>
      </c>
      <c r="B18" s="106" t="s">
        <v>16</v>
      </c>
      <c r="C18" s="248"/>
      <c r="D18" s="76">
        <f>C13</f>
        <v>4750</v>
      </c>
      <c r="E18" s="148">
        <f>C13</f>
        <v>4750</v>
      </c>
    </row>
    <row r="19" spans="1:5" s="38" customFormat="1" ht="15.75" customHeight="1" x14ac:dyDescent="0.25">
      <c r="A19" s="105" t="s">
        <v>2</v>
      </c>
      <c r="B19" s="106" t="s">
        <v>17</v>
      </c>
      <c r="C19" s="114"/>
      <c r="D19" s="112"/>
      <c r="E19" s="113"/>
    </row>
    <row r="20" spans="1:5" s="38" customFormat="1" ht="15.75" customHeight="1" x14ac:dyDescent="0.25">
      <c r="A20" s="105" t="s">
        <v>3</v>
      </c>
      <c r="B20" s="106" t="s">
        <v>18</v>
      </c>
      <c r="C20" s="111">
        <v>1518</v>
      </c>
      <c r="D20" s="112">
        <f>40%*C20</f>
        <v>607.20000000000005</v>
      </c>
      <c r="E20" s="113">
        <f>40%*C20</f>
        <v>607.20000000000005</v>
      </c>
    </row>
    <row r="21" spans="1:5" s="38" customFormat="1" ht="15.75" customHeight="1" x14ac:dyDescent="0.25">
      <c r="A21" s="105" t="s">
        <v>5</v>
      </c>
      <c r="B21" s="106" t="s">
        <v>19</v>
      </c>
      <c r="C21" s="114"/>
      <c r="D21" s="112"/>
      <c r="E21" s="113"/>
    </row>
    <row r="22" spans="1:5" s="38" customFormat="1" ht="15.75" customHeight="1" x14ac:dyDescent="0.25">
      <c r="A22" s="105" t="s">
        <v>20</v>
      </c>
      <c r="B22" s="106" t="s">
        <v>195</v>
      </c>
      <c r="C22" s="114"/>
      <c r="D22" s="112"/>
      <c r="E22" s="113"/>
    </row>
    <row r="23" spans="1:5" s="38" customFormat="1" x14ac:dyDescent="0.25">
      <c r="A23" s="105" t="s">
        <v>21</v>
      </c>
      <c r="B23" s="106" t="s">
        <v>133</v>
      </c>
      <c r="C23" s="115"/>
      <c r="D23" s="112"/>
      <c r="E23" s="113"/>
    </row>
    <row r="24" spans="1:5" s="38" customFormat="1" ht="15.75" customHeight="1" x14ac:dyDescent="0.25">
      <c r="A24" s="105" t="s">
        <v>22</v>
      </c>
      <c r="B24" s="116" t="s">
        <v>134</v>
      </c>
      <c r="C24" s="115"/>
      <c r="D24" s="112"/>
      <c r="E24" s="113"/>
    </row>
    <row r="25" spans="1:5" s="39" customFormat="1" ht="15.75" customHeight="1" x14ac:dyDescent="0.25">
      <c r="A25" s="344" t="s">
        <v>145</v>
      </c>
      <c r="B25" s="345"/>
      <c r="C25" s="345"/>
      <c r="D25" s="117">
        <f>SUM(D18:D24)</f>
        <v>5357.2</v>
      </c>
      <c r="E25" s="118">
        <f>SUM(E18:E24)</f>
        <v>5357.2</v>
      </c>
    </row>
    <row r="26" spans="1:5" s="39" customFormat="1" x14ac:dyDescent="0.25">
      <c r="A26" s="346" t="s">
        <v>48</v>
      </c>
      <c r="B26" s="347"/>
      <c r="C26" s="347"/>
      <c r="D26" s="208"/>
      <c r="E26" s="245"/>
    </row>
    <row r="27" spans="1:5" s="38" customFormat="1" x14ac:dyDescent="0.25">
      <c r="A27" s="257">
        <v>2</v>
      </c>
      <c r="B27" s="356" t="s">
        <v>196</v>
      </c>
      <c r="C27" s="372"/>
      <c r="D27" s="121" t="s">
        <v>10</v>
      </c>
      <c r="E27" s="122" t="s">
        <v>10</v>
      </c>
    </row>
    <row r="28" spans="1:5" s="38" customFormat="1" x14ac:dyDescent="0.25">
      <c r="A28" s="123" t="s">
        <v>0</v>
      </c>
      <c r="B28" s="124" t="s">
        <v>28</v>
      </c>
      <c r="C28" s="125">
        <f>1/12</f>
        <v>8.3299999999999999E-2</v>
      </c>
      <c r="D28" s="126">
        <f>(D25)*C28</f>
        <v>446.25</v>
      </c>
      <c r="E28" s="127">
        <f>(E25)*C28</f>
        <v>446.25</v>
      </c>
    </row>
    <row r="29" spans="1:5" s="38" customFormat="1" x14ac:dyDescent="0.25">
      <c r="A29" s="123" t="s">
        <v>2</v>
      </c>
      <c r="B29" s="124" t="s">
        <v>141</v>
      </c>
      <c r="C29" s="125">
        <v>0.1111</v>
      </c>
      <c r="D29" s="126">
        <f>(D25)*C29</f>
        <v>595.17999999999995</v>
      </c>
      <c r="E29" s="127">
        <f>(E25)*C29</f>
        <v>595.17999999999995</v>
      </c>
    </row>
    <row r="30" spans="1:5" x14ac:dyDescent="0.25">
      <c r="A30" s="342" t="s">
        <v>27</v>
      </c>
      <c r="B30" s="343"/>
      <c r="C30" s="128">
        <f>SUM(C28:C29)</f>
        <v>0.19439999999999999</v>
      </c>
      <c r="D30" s="63">
        <f>SUM(D28:D29)</f>
        <v>1041.43</v>
      </c>
      <c r="E30" s="64">
        <f>SUM(E28:E29)</f>
        <v>1041.43</v>
      </c>
    </row>
    <row r="31" spans="1:5" ht="32.25" customHeight="1" x14ac:dyDescent="0.25">
      <c r="A31" s="375" t="s">
        <v>197</v>
      </c>
      <c r="B31" s="376"/>
      <c r="C31" s="376"/>
      <c r="D31" s="376"/>
      <c r="E31" s="377"/>
    </row>
    <row r="32" spans="1:5" x14ac:dyDescent="0.25">
      <c r="A32" s="251" t="s">
        <v>200</v>
      </c>
      <c r="B32" s="373" t="s">
        <v>25</v>
      </c>
      <c r="C32" s="374"/>
      <c r="D32" s="129" t="s">
        <v>10</v>
      </c>
      <c r="E32" s="130" t="s">
        <v>10</v>
      </c>
    </row>
    <row r="33" spans="1:5" x14ac:dyDescent="0.25">
      <c r="A33" s="123" t="s">
        <v>0</v>
      </c>
      <c r="B33" s="131" t="s">
        <v>301</v>
      </c>
      <c r="C33" s="125">
        <v>0.2</v>
      </c>
      <c r="D33" s="126">
        <f>(D25+D30)*C33</f>
        <v>1279.73</v>
      </c>
      <c r="E33" s="127">
        <f>(E25+E30)*C33</f>
        <v>1279.73</v>
      </c>
    </row>
    <row r="34" spans="1:5" x14ac:dyDescent="0.25">
      <c r="A34" s="123" t="s">
        <v>2</v>
      </c>
      <c r="B34" s="131" t="s">
        <v>302</v>
      </c>
      <c r="C34" s="132">
        <v>2.5000000000000001E-2</v>
      </c>
      <c r="D34" s="126">
        <f>(D25+D30)*C34</f>
        <v>159.97</v>
      </c>
      <c r="E34" s="127">
        <f>(E25+E30)*C34</f>
        <v>159.97</v>
      </c>
    </row>
    <row r="35" spans="1:5" ht="45" x14ac:dyDescent="0.25">
      <c r="A35" s="123" t="s">
        <v>3</v>
      </c>
      <c r="B35" s="250" t="s">
        <v>303</v>
      </c>
      <c r="C35" s="132">
        <v>0.03</v>
      </c>
      <c r="D35" s="126">
        <f>(D25+D30)*C35</f>
        <v>191.96</v>
      </c>
      <c r="E35" s="127">
        <f>(E25+E30)*C35</f>
        <v>191.96</v>
      </c>
    </row>
    <row r="36" spans="1:5" x14ac:dyDescent="0.25">
      <c r="A36" s="123" t="s">
        <v>5</v>
      </c>
      <c r="B36" s="131" t="s">
        <v>304</v>
      </c>
      <c r="C36" s="132">
        <v>1.4999999999999999E-2</v>
      </c>
      <c r="D36" s="126">
        <f>(D25+D30)*C36</f>
        <v>95.98</v>
      </c>
      <c r="E36" s="127">
        <f>(E25+E30)*C36</f>
        <v>95.98</v>
      </c>
    </row>
    <row r="37" spans="1:5" x14ac:dyDescent="0.25">
      <c r="A37" s="123" t="s">
        <v>20</v>
      </c>
      <c r="B37" s="131" t="s">
        <v>305</v>
      </c>
      <c r="C37" s="132">
        <v>0.01</v>
      </c>
      <c r="D37" s="126">
        <f>(D25+D30)*C37</f>
        <v>63.99</v>
      </c>
      <c r="E37" s="127">
        <f>(E25+E30)*C37</f>
        <v>63.99</v>
      </c>
    </row>
    <row r="38" spans="1:5" x14ac:dyDescent="0.25">
      <c r="A38" s="123" t="s">
        <v>21</v>
      </c>
      <c r="B38" s="133" t="s">
        <v>199</v>
      </c>
      <c r="C38" s="132">
        <v>6.0000000000000001E-3</v>
      </c>
      <c r="D38" s="126">
        <f>(D25+D30)*C38</f>
        <v>38.39</v>
      </c>
      <c r="E38" s="127">
        <f>(E25+E30)*C38</f>
        <v>38.39</v>
      </c>
    </row>
    <row r="39" spans="1:5" ht="30.75" customHeight="1" x14ac:dyDescent="0.25">
      <c r="A39" s="123" t="s">
        <v>22</v>
      </c>
      <c r="B39" s="250" t="s">
        <v>306</v>
      </c>
      <c r="C39" s="132">
        <v>2E-3</v>
      </c>
      <c r="D39" s="126">
        <f>(D25+D30)*C39</f>
        <v>12.8</v>
      </c>
      <c r="E39" s="127">
        <f>(E25+E30)*C39</f>
        <v>12.8</v>
      </c>
    </row>
    <row r="40" spans="1:5" x14ac:dyDescent="0.25">
      <c r="A40" s="123" t="s">
        <v>26</v>
      </c>
      <c r="B40" s="134" t="s">
        <v>198</v>
      </c>
      <c r="C40" s="132">
        <v>0.08</v>
      </c>
      <c r="D40" s="126">
        <f>(D25+D30)*C40</f>
        <v>511.89</v>
      </c>
      <c r="E40" s="127">
        <f>(E25+E30)*C40</f>
        <v>511.89</v>
      </c>
    </row>
    <row r="41" spans="1:5" s="30" customFormat="1" x14ac:dyDescent="0.25">
      <c r="A41" s="342" t="s">
        <v>27</v>
      </c>
      <c r="B41" s="343"/>
      <c r="C41" s="135">
        <f>SUM(C33:C40)</f>
        <v>0.36799999999999999</v>
      </c>
      <c r="D41" s="63">
        <f>SUM(D33:D40)</f>
        <v>2354.71</v>
      </c>
      <c r="E41" s="64">
        <f>SUM(E33:E40)</f>
        <v>2354.71</v>
      </c>
    </row>
    <row r="42" spans="1:5" s="30" customFormat="1" x14ac:dyDescent="0.25">
      <c r="A42" s="138" t="s">
        <v>201</v>
      </c>
      <c r="B42" s="352" t="s">
        <v>202</v>
      </c>
      <c r="C42" s="353"/>
      <c r="D42" s="139" t="s">
        <v>10</v>
      </c>
      <c r="E42" s="140" t="s">
        <v>10</v>
      </c>
    </row>
    <row r="43" spans="1:5" s="30" customFormat="1" x14ac:dyDescent="0.25">
      <c r="A43" s="141" t="s">
        <v>0</v>
      </c>
      <c r="B43" s="142" t="s">
        <v>137</v>
      </c>
      <c r="C43" s="209"/>
      <c r="D43" s="112">
        <v>0</v>
      </c>
      <c r="E43" s="113">
        <v>0</v>
      </c>
    </row>
    <row r="44" spans="1:5" s="30" customFormat="1" x14ac:dyDescent="0.25">
      <c r="A44" s="146" t="s">
        <v>2</v>
      </c>
      <c r="B44" s="116" t="s">
        <v>203</v>
      </c>
      <c r="C44" s="147"/>
      <c r="D44" s="112">
        <v>0</v>
      </c>
      <c r="E44" s="113">
        <v>0</v>
      </c>
    </row>
    <row r="45" spans="1:5" s="30" customFormat="1" x14ac:dyDescent="0.25">
      <c r="A45" s="123" t="s">
        <v>5</v>
      </c>
      <c r="B45" s="124" t="s">
        <v>129</v>
      </c>
      <c r="C45" s="186"/>
      <c r="D45" s="112">
        <v>0</v>
      </c>
      <c r="E45" s="113">
        <v>0</v>
      </c>
    </row>
    <row r="46" spans="1:5" s="30" customFormat="1" x14ac:dyDescent="0.25">
      <c r="A46" s="123" t="s">
        <v>20</v>
      </c>
      <c r="B46" s="124" t="s">
        <v>130</v>
      </c>
      <c r="C46" s="125"/>
      <c r="D46" s="112">
        <v>0</v>
      </c>
      <c r="E46" s="113">
        <v>0</v>
      </c>
    </row>
    <row r="47" spans="1:5" s="30" customFormat="1" x14ac:dyDescent="0.25">
      <c r="A47" s="123" t="s">
        <v>21</v>
      </c>
      <c r="B47" s="124" t="s">
        <v>131</v>
      </c>
      <c r="C47" s="186"/>
      <c r="D47" s="112">
        <v>0</v>
      </c>
      <c r="E47" s="113">
        <v>0</v>
      </c>
    </row>
    <row r="48" spans="1:5" s="30" customFormat="1" ht="15.75" customHeight="1" x14ac:dyDescent="0.25">
      <c r="A48" s="342" t="s">
        <v>23</v>
      </c>
      <c r="B48" s="343"/>
      <c r="C48" s="343"/>
      <c r="D48" s="63">
        <f>SUM(D43:D47)</f>
        <v>0</v>
      </c>
      <c r="E48" s="64">
        <f>SUM(E43:E47)</f>
        <v>0</v>
      </c>
    </row>
    <row r="49" spans="1:5" s="30" customFormat="1" ht="15.75" customHeight="1" x14ac:dyDescent="0.25">
      <c r="A49" s="346" t="s">
        <v>144</v>
      </c>
      <c r="B49" s="347"/>
      <c r="C49" s="347"/>
      <c r="D49" s="347"/>
      <c r="E49" s="397"/>
    </row>
    <row r="50" spans="1:5" s="30" customFormat="1" ht="15.75" customHeight="1" x14ac:dyDescent="0.25">
      <c r="A50" s="259" t="s">
        <v>136</v>
      </c>
      <c r="B50" s="152" t="s">
        <v>138</v>
      </c>
      <c r="C50" s="260"/>
      <c r="D50" s="107">
        <f>D30</f>
        <v>1041.43</v>
      </c>
      <c r="E50" s="108">
        <f>E30</f>
        <v>1041.43</v>
      </c>
    </row>
    <row r="51" spans="1:5" s="30" customFormat="1" ht="15.75" customHeight="1" x14ac:dyDescent="0.25">
      <c r="A51" s="259" t="s">
        <v>200</v>
      </c>
      <c r="B51" s="152" t="s">
        <v>139</v>
      </c>
      <c r="C51" s="260"/>
      <c r="D51" s="107">
        <f>D41</f>
        <v>2354.71</v>
      </c>
      <c r="E51" s="108">
        <f>E41</f>
        <v>2354.71</v>
      </c>
    </row>
    <row r="52" spans="1:5" s="30" customFormat="1" ht="15.75" customHeight="1" x14ac:dyDescent="0.25">
      <c r="A52" s="259" t="s">
        <v>201</v>
      </c>
      <c r="B52" s="152" t="s">
        <v>140</v>
      </c>
      <c r="C52" s="260"/>
      <c r="D52" s="107">
        <f>D48</f>
        <v>0</v>
      </c>
      <c r="E52" s="108">
        <f>E48</f>
        <v>0</v>
      </c>
    </row>
    <row r="53" spans="1:5" s="30" customFormat="1" ht="15.75" customHeight="1" x14ac:dyDescent="0.25">
      <c r="A53" s="344" t="s">
        <v>146</v>
      </c>
      <c r="B53" s="345"/>
      <c r="C53" s="345"/>
      <c r="D53" s="117">
        <f>SUM(D50:D52)</f>
        <v>3396.14</v>
      </c>
      <c r="E53" s="118">
        <f>SUM(E50:E52)</f>
        <v>3396.14</v>
      </c>
    </row>
    <row r="54" spans="1:5" s="30" customFormat="1" ht="15.75" customHeight="1" x14ac:dyDescent="0.25">
      <c r="A54" s="346" t="s">
        <v>154</v>
      </c>
      <c r="B54" s="347"/>
      <c r="C54" s="347"/>
      <c r="D54" s="347"/>
      <c r="E54" s="397"/>
    </row>
    <row r="55" spans="1:5" s="30" customFormat="1" ht="15.75" customHeight="1" x14ac:dyDescent="0.25">
      <c r="A55" s="257" t="s">
        <v>191</v>
      </c>
      <c r="B55" s="356" t="s">
        <v>32</v>
      </c>
      <c r="C55" s="357"/>
      <c r="D55" s="121" t="s">
        <v>10</v>
      </c>
      <c r="E55" s="122" t="s">
        <v>10</v>
      </c>
    </row>
    <row r="56" spans="1:5" s="30" customFormat="1" ht="15.75" customHeight="1" x14ac:dyDescent="0.25">
      <c r="A56" s="123" t="s">
        <v>0</v>
      </c>
      <c r="B56" s="124" t="s">
        <v>33</v>
      </c>
      <c r="C56" s="125">
        <v>4.5999999999999999E-3</v>
      </c>
      <c r="D56" s="126">
        <f>D$25*C56</f>
        <v>24.64</v>
      </c>
      <c r="E56" s="127">
        <f>E$25*C56</f>
        <v>24.64</v>
      </c>
    </row>
    <row r="57" spans="1:5" s="30" customFormat="1" ht="15.75" customHeight="1" x14ac:dyDescent="0.25">
      <c r="A57" s="123" t="s">
        <v>2</v>
      </c>
      <c r="B57" s="124" t="s">
        <v>34</v>
      </c>
      <c r="C57" s="125">
        <v>4.0000000000000002E-4</v>
      </c>
      <c r="D57" s="126">
        <f>D$25*C57</f>
        <v>2.14</v>
      </c>
      <c r="E57" s="127">
        <f>E$25*C57</f>
        <v>2.14</v>
      </c>
    </row>
    <row r="58" spans="1:5" s="30" customFormat="1" ht="15.75" customHeight="1" x14ac:dyDescent="0.25">
      <c r="A58" s="123" t="s">
        <v>3</v>
      </c>
      <c r="B58" s="124" t="s">
        <v>35</v>
      </c>
      <c r="C58" s="125">
        <v>1.9400000000000001E-2</v>
      </c>
      <c r="D58" s="126">
        <f>D$25*C58</f>
        <v>103.93</v>
      </c>
      <c r="E58" s="127">
        <f>E$25*C58</f>
        <v>103.93</v>
      </c>
    </row>
    <row r="59" spans="1:5" s="30" customFormat="1" ht="30" customHeight="1" x14ac:dyDescent="0.25">
      <c r="A59" s="123" t="s">
        <v>5</v>
      </c>
      <c r="B59" s="189" t="s">
        <v>310</v>
      </c>
      <c r="C59" s="125">
        <v>7.7000000000000002E-3</v>
      </c>
      <c r="D59" s="126">
        <f>D$25*C59</f>
        <v>41.25</v>
      </c>
      <c r="E59" s="127">
        <f>E$25*C59</f>
        <v>41.25</v>
      </c>
    </row>
    <row r="60" spans="1:5" s="30" customFormat="1" ht="32.25" customHeight="1" x14ac:dyDescent="0.25">
      <c r="A60" s="123" t="s">
        <v>20</v>
      </c>
      <c r="B60" s="124" t="s">
        <v>204</v>
      </c>
      <c r="C60" s="125">
        <v>0.04</v>
      </c>
      <c r="D60" s="126">
        <f>D$25*C60</f>
        <v>214.29</v>
      </c>
      <c r="E60" s="127">
        <f>E$25*C60</f>
        <v>214.29</v>
      </c>
    </row>
    <row r="61" spans="1:5" s="30" customFormat="1" ht="15.75" customHeight="1" x14ac:dyDescent="0.25">
      <c r="A61" s="344" t="s">
        <v>147</v>
      </c>
      <c r="B61" s="345"/>
      <c r="C61" s="265">
        <f>SUM(C56:C60)</f>
        <v>7.2099999999999997E-2</v>
      </c>
      <c r="D61" s="117">
        <f>SUM(D56:D60)</f>
        <v>386.25</v>
      </c>
      <c r="E61" s="118">
        <f>SUM(E56:E60)</f>
        <v>386.25</v>
      </c>
    </row>
    <row r="62" spans="1:5" s="30" customFormat="1" x14ac:dyDescent="0.25">
      <c r="A62" s="346" t="s">
        <v>155</v>
      </c>
      <c r="B62" s="347"/>
      <c r="C62" s="347"/>
      <c r="D62" s="347"/>
      <c r="E62" s="397"/>
    </row>
    <row r="63" spans="1:5" s="30" customFormat="1" x14ac:dyDescent="0.25">
      <c r="A63" s="257" t="s">
        <v>190</v>
      </c>
      <c r="B63" s="358" t="s">
        <v>36</v>
      </c>
      <c r="C63" s="358"/>
      <c r="D63" s="121" t="s">
        <v>10</v>
      </c>
      <c r="E63" s="122" t="s">
        <v>10</v>
      </c>
    </row>
    <row r="64" spans="1:5" s="30" customFormat="1" x14ac:dyDescent="0.25">
      <c r="A64" s="123" t="s">
        <v>0</v>
      </c>
      <c r="B64" s="124" t="s">
        <v>183</v>
      </c>
      <c r="C64" s="125">
        <f>C29/12</f>
        <v>9.2999999999999992E-3</v>
      </c>
      <c r="D64" s="126">
        <f>(D25+D53+D61+D85)*C64</f>
        <v>85.31</v>
      </c>
      <c r="E64" s="127">
        <f>(E25+E53+E61+E85)*C64</f>
        <v>85.31</v>
      </c>
    </row>
    <row r="65" spans="1:5" s="30" customFormat="1" x14ac:dyDescent="0.25">
      <c r="A65" s="123" t="s">
        <v>2</v>
      </c>
      <c r="B65" s="124" t="s">
        <v>184</v>
      </c>
      <c r="C65" s="125">
        <v>1.3899999999999999E-2</v>
      </c>
      <c r="D65" s="126">
        <f>(D$25+D$53+D$61+D85)*C65</f>
        <v>127.51</v>
      </c>
      <c r="E65" s="127">
        <f>(E$25+E$53+E$61+E85)*C65</f>
        <v>127.51</v>
      </c>
    </row>
    <row r="66" spans="1:5" s="30" customFormat="1" x14ac:dyDescent="0.25">
      <c r="A66" s="123" t="s">
        <v>3</v>
      </c>
      <c r="B66" s="124" t="s">
        <v>187</v>
      </c>
      <c r="C66" s="125">
        <v>1.2999999999999999E-3</v>
      </c>
      <c r="D66" s="126">
        <f>(D$25+D$53+D$61+D$85)*C66</f>
        <v>11.93</v>
      </c>
      <c r="E66" s="127">
        <f>(E$25+E$53+E$61+E$85)*C66</f>
        <v>11.93</v>
      </c>
    </row>
    <row r="67" spans="1:5" s="30" customFormat="1" x14ac:dyDescent="0.25">
      <c r="A67" s="123" t="s">
        <v>5</v>
      </c>
      <c r="B67" s="124" t="s">
        <v>185</v>
      </c>
      <c r="C67" s="125">
        <v>2.0000000000000001E-4</v>
      </c>
      <c r="D67" s="126">
        <f>(D$25+D$53+D$61+D$85)*C67</f>
        <v>1.83</v>
      </c>
      <c r="E67" s="127">
        <f>(E$25+E$53+E$61+E$85)*C67</f>
        <v>1.83</v>
      </c>
    </row>
    <row r="68" spans="1:5" s="30" customFormat="1" x14ac:dyDescent="0.25">
      <c r="A68" s="123" t="s">
        <v>20</v>
      </c>
      <c r="B68" s="124" t="s">
        <v>299</v>
      </c>
      <c r="C68" s="125">
        <v>2.8E-3</v>
      </c>
      <c r="D68" s="126">
        <f>(D$25+D$53+D$61+D$85)*C68</f>
        <v>25.69</v>
      </c>
      <c r="E68" s="127">
        <f>(E$25+E$53+E$61+E$85)*C68</f>
        <v>25.69</v>
      </c>
    </row>
    <row r="69" spans="1:5" s="30" customFormat="1" x14ac:dyDescent="0.25">
      <c r="A69" s="123" t="s">
        <v>21</v>
      </c>
      <c r="B69" s="124" t="s">
        <v>186</v>
      </c>
      <c r="C69" s="125">
        <v>2.9999999999999997E-4</v>
      </c>
      <c r="D69" s="126">
        <f>(D$25+D$53+D$61+D$85)*C69</f>
        <v>2.75</v>
      </c>
      <c r="E69" s="127">
        <f>(E$25+E$53+E$61+E$85)*C69</f>
        <v>2.75</v>
      </c>
    </row>
    <row r="70" spans="1:5" s="30" customFormat="1" ht="15.75" customHeight="1" x14ac:dyDescent="0.25">
      <c r="A70" s="123" t="s">
        <v>22</v>
      </c>
      <c r="B70" s="256" t="s">
        <v>188</v>
      </c>
      <c r="C70" s="125">
        <v>0</v>
      </c>
      <c r="D70" s="126">
        <f>(D$25+D$53+D$61+D$85)*C70</f>
        <v>0</v>
      </c>
      <c r="E70" s="127">
        <f>(E$25+E$53+E$61+E$85)*C70</f>
        <v>0</v>
      </c>
    </row>
    <row r="71" spans="1:5" s="30" customFormat="1" x14ac:dyDescent="0.25">
      <c r="A71" s="342" t="s">
        <v>29</v>
      </c>
      <c r="B71" s="343"/>
      <c r="C71" s="135">
        <f>SUM(C64:C70)</f>
        <v>2.7799999999999998E-2</v>
      </c>
      <c r="D71" s="63">
        <f>SUM(D64:D70)</f>
        <v>255.02</v>
      </c>
      <c r="E71" s="64">
        <f>SUM(E64:E70)</f>
        <v>255.02</v>
      </c>
    </row>
    <row r="72" spans="1:5" s="30" customFormat="1" x14ac:dyDescent="0.25">
      <c r="A72" s="259"/>
      <c r="B72" s="260"/>
      <c r="C72" s="155"/>
      <c r="D72" s="155"/>
      <c r="E72" s="148"/>
    </row>
    <row r="73" spans="1:5" s="30" customFormat="1" x14ac:dyDescent="0.25">
      <c r="A73" s="259"/>
      <c r="B73" s="354" t="s">
        <v>192</v>
      </c>
      <c r="C73" s="355"/>
      <c r="D73" s="121" t="s">
        <v>10</v>
      </c>
      <c r="E73" s="122" t="s">
        <v>10</v>
      </c>
    </row>
    <row r="74" spans="1:5" s="30" customFormat="1" x14ac:dyDescent="0.25">
      <c r="A74" s="146" t="s">
        <v>0</v>
      </c>
      <c r="B74" s="249" t="s">
        <v>193</v>
      </c>
      <c r="C74" s="192">
        <v>0</v>
      </c>
      <c r="D74" s="210">
        <v>0</v>
      </c>
      <c r="E74" s="266">
        <v>0</v>
      </c>
    </row>
    <row r="75" spans="1:5" s="30" customFormat="1" ht="15.75" customHeight="1" x14ac:dyDescent="0.25">
      <c r="A75" s="342" t="s">
        <v>27</v>
      </c>
      <c r="B75" s="343"/>
      <c r="C75" s="156">
        <v>0</v>
      </c>
      <c r="D75" s="63">
        <f>D74</f>
        <v>0</v>
      </c>
      <c r="E75" s="64">
        <f>E74</f>
        <v>0</v>
      </c>
    </row>
    <row r="76" spans="1:5" s="30" customFormat="1" ht="15.75" customHeight="1" x14ac:dyDescent="0.25">
      <c r="A76" s="346" t="s">
        <v>30</v>
      </c>
      <c r="B76" s="347"/>
      <c r="C76" s="347"/>
      <c r="D76" s="347"/>
      <c r="E76" s="397"/>
    </row>
    <row r="77" spans="1:5" s="30" customFormat="1" ht="15.75" customHeight="1" x14ac:dyDescent="0.25">
      <c r="A77" s="350" t="s">
        <v>194</v>
      </c>
      <c r="B77" s="351"/>
      <c r="C77" s="351"/>
      <c r="D77" s="351"/>
      <c r="E77" s="400"/>
    </row>
    <row r="78" spans="1:5" s="30" customFormat="1" ht="15.75" customHeight="1" x14ac:dyDescent="0.25">
      <c r="A78" s="257">
        <v>4</v>
      </c>
      <c r="B78" s="356" t="s">
        <v>205</v>
      </c>
      <c r="C78" s="357"/>
      <c r="D78" s="121" t="s">
        <v>10</v>
      </c>
      <c r="E78" s="122" t="s">
        <v>10</v>
      </c>
    </row>
    <row r="79" spans="1:5" s="30" customFormat="1" ht="15.75" customHeight="1" x14ac:dyDescent="0.25">
      <c r="A79" s="123" t="s">
        <v>190</v>
      </c>
      <c r="B79" s="124" t="s">
        <v>189</v>
      </c>
      <c r="C79" s="125">
        <f>C71</f>
        <v>2.7799999999999998E-2</v>
      </c>
      <c r="D79" s="126">
        <f>D71</f>
        <v>255.02</v>
      </c>
      <c r="E79" s="127">
        <f>E71</f>
        <v>255.02</v>
      </c>
    </row>
    <row r="80" spans="1:5" s="30" customFormat="1" ht="15.75" customHeight="1" x14ac:dyDescent="0.25">
      <c r="A80" s="123" t="s">
        <v>206</v>
      </c>
      <c r="B80" s="124" t="s">
        <v>192</v>
      </c>
      <c r="C80" s="125">
        <v>0</v>
      </c>
      <c r="D80" s="126">
        <f>(D$25+D$53+D$61)*C80</f>
        <v>0</v>
      </c>
      <c r="E80" s="127">
        <f>(E$25+E$53+E$61)*C80</f>
        <v>0</v>
      </c>
    </row>
    <row r="81" spans="1:5" s="30" customFormat="1" ht="15.75" customHeight="1" x14ac:dyDescent="0.25">
      <c r="A81" s="342" t="s">
        <v>27</v>
      </c>
      <c r="B81" s="343"/>
      <c r="C81" s="128">
        <f>SUM(C79:C80)</f>
        <v>2.7799999999999998E-2</v>
      </c>
      <c r="D81" s="63">
        <f>SUM(D79:D80)</f>
        <v>255.02</v>
      </c>
      <c r="E81" s="64">
        <f>SUM(E79:E80)</f>
        <v>255.02</v>
      </c>
    </row>
    <row r="82" spans="1:5" s="30" customFormat="1" ht="15.75" customHeight="1" x14ac:dyDescent="0.25">
      <c r="A82" s="344" t="s">
        <v>148</v>
      </c>
      <c r="B82" s="345"/>
      <c r="C82" s="345"/>
      <c r="D82" s="117">
        <f>SUM(D75+D81)</f>
        <v>255.02</v>
      </c>
      <c r="E82" s="118">
        <f>SUM(E75+E81)</f>
        <v>255.02</v>
      </c>
    </row>
    <row r="83" spans="1:5" s="30" customFormat="1" ht="15.75" customHeight="1" x14ac:dyDescent="0.25">
      <c r="A83" s="348" t="s">
        <v>156</v>
      </c>
      <c r="B83" s="349"/>
      <c r="C83" s="349"/>
      <c r="D83" s="349"/>
      <c r="E83" s="399"/>
    </row>
    <row r="84" spans="1:5" s="30" customFormat="1" ht="15.75" customHeight="1" x14ac:dyDescent="0.25">
      <c r="A84" s="257">
        <v>5</v>
      </c>
      <c r="B84" s="356" t="s">
        <v>24</v>
      </c>
      <c r="C84" s="357"/>
      <c r="D84" s="121" t="s">
        <v>10</v>
      </c>
      <c r="E84" s="122" t="s">
        <v>10</v>
      </c>
    </row>
    <row r="85" spans="1:5" s="30" customFormat="1" ht="15.75" customHeight="1" x14ac:dyDescent="0.25">
      <c r="A85" s="123" t="s">
        <v>0</v>
      </c>
      <c r="B85" s="378" t="s">
        <v>207</v>
      </c>
      <c r="C85" s="378"/>
      <c r="D85" s="126">
        <f>Uniformes!H7</f>
        <v>33.93</v>
      </c>
      <c r="E85" s="127">
        <f>Uniformes!H7</f>
        <v>33.93</v>
      </c>
    </row>
    <row r="86" spans="1:5" s="30" customFormat="1" ht="15.75" customHeight="1" x14ac:dyDescent="0.25">
      <c r="A86" s="123" t="s">
        <v>2</v>
      </c>
      <c r="B86" s="378" t="s">
        <v>208</v>
      </c>
      <c r="C86" s="378"/>
      <c r="D86" s="126">
        <f>Materiais!H19</f>
        <v>40.090000000000003</v>
      </c>
      <c r="E86" s="127">
        <f>Materiais!H21</f>
        <v>40.090000000000003</v>
      </c>
    </row>
    <row r="87" spans="1:5" s="30" customFormat="1" ht="15.75" customHeight="1" x14ac:dyDescent="0.25">
      <c r="A87" s="123" t="s">
        <v>3</v>
      </c>
      <c r="B87" s="378" t="s">
        <v>178</v>
      </c>
      <c r="C87" s="378"/>
      <c r="D87" s="76">
        <f>Equipamentos!H19</f>
        <v>765.63</v>
      </c>
      <c r="E87" s="148">
        <f>Equipamentos!H21</f>
        <v>765.63</v>
      </c>
    </row>
    <row r="88" spans="1:5" s="30" customFormat="1" ht="15.75" customHeight="1" x14ac:dyDescent="0.25">
      <c r="A88" s="123" t="s">
        <v>5</v>
      </c>
      <c r="B88" s="378" t="s">
        <v>132</v>
      </c>
      <c r="C88" s="378"/>
      <c r="D88" s="126">
        <v>0</v>
      </c>
      <c r="E88" s="127">
        <v>0</v>
      </c>
    </row>
    <row r="89" spans="1:5" s="30" customFormat="1" ht="15.75" customHeight="1" x14ac:dyDescent="0.25">
      <c r="A89" s="344" t="s">
        <v>149</v>
      </c>
      <c r="B89" s="345"/>
      <c r="C89" s="345"/>
      <c r="D89" s="117">
        <f>SUM(D85:D88)</f>
        <v>839.65</v>
      </c>
      <c r="E89" s="118">
        <f>SUM(E85:E88)</f>
        <v>839.65</v>
      </c>
    </row>
    <row r="90" spans="1:5" s="30" customFormat="1" ht="30" customHeight="1" x14ac:dyDescent="0.25">
      <c r="A90" s="348" t="s">
        <v>210</v>
      </c>
      <c r="B90" s="349"/>
      <c r="C90" s="349"/>
      <c r="D90" s="159">
        <f>D89+D82+D61+D53+D25</f>
        <v>10234.26</v>
      </c>
      <c r="E90" s="160">
        <f>E89+E82+E61+E53+E25</f>
        <v>10234.26</v>
      </c>
    </row>
    <row r="91" spans="1:5" s="30" customFormat="1" ht="19.5" customHeight="1" x14ac:dyDescent="0.25">
      <c r="A91" s="346" t="s">
        <v>157</v>
      </c>
      <c r="B91" s="347"/>
      <c r="C91" s="347"/>
      <c r="D91" s="347"/>
      <c r="E91" s="397"/>
    </row>
    <row r="92" spans="1:5" s="30" customFormat="1" x14ac:dyDescent="0.25">
      <c r="A92" s="257">
        <v>6</v>
      </c>
      <c r="B92" s="356" t="s">
        <v>38</v>
      </c>
      <c r="C92" s="372"/>
      <c r="D92" s="121" t="s">
        <v>10</v>
      </c>
      <c r="E92" s="122" t="s">
        <v>10</v>
      </c>
    </row>
    <row r="93" spans="1:5" s="30" customFormat="1" x14ac:dyDescent="0.25">
      <c r="A93" s="123" t="s">
        <v>0</v>
      </c>
      <c r="B93" s="124" t="s">
        <v>39</v>
      </c>
      <c r="C93" s="161">
        <v>0.05</v>
      </c>
      <c r="D93" s="126">
        <f>+D90*C93</f>
        <v>511.71</v>
      </c>
      <c r="E93" s="127">
        <f>+E90*C93</f>
        <v>511.71</v>
      </c>
    </row>
    <row r="94" spans="1:5" s="30" customFormat="1" x14ac:dyDescent="0.25">
      <c r="A94" s="123" t="s">
        <v>2</v>
      </c>
      <c r="B94" s="124" t="s">
        <v>40</v>
      </c>
      <c r="C94" s="161">
        <v>0.1</v>
      </c>
      <c r="D94" s="126">
        <f>C94*(+D90+D93)</f>
        <v>1074.5999999999999</v>
      </c>
      <c r="E94" s="127">
        <f>C94*(+E90+E93)</f>
        <v>1074.5999999999999</v>
      </c>
    </row>
    <row r="95" spans="1:5" s="30" customFormat="1" ht="30" x14ac:dyDescent="0.25">
      <c r="A95" s="123"/>
      <c r="B95" s="124" t="s">
        <v>47</v>
      </c>
      <c r="C95" s="125">
        <f>1-C102</f>
        <v>0.85750000000000004</v>
      </c>
      <c r="D95" s="126">
        <f>+D90+D93+D94</f>
        <v>11820.57</v>
      </c>
      <c r="E95" s="127">
        <f>+E90+E93+E94</f>
        <v>11820.57</v>
      </c>
    </row>
    <row r="96" spans="1:5" s="30" customFormat="1" x14ac:dyDescent="0.25">
      <c r="A96" s="123"/>
      <c r="B96" s="256"/>
      <c r="C96" s="40"/>
      <c r="D96" s="162">
        <f>+D95/C95</f>
        <v>13784.92</v>
      </c>
      <c r="E96" s="163">
        <f>+E95/C95</f>
        <v>13784.92</v>
      </c>
    </row>
    <row r="97" spans="1:5" s="30" customFormat="1" x14ac:dyDescent="0.25">
      <c r="A97" s="123" t="s">
        <v>3</v>
      </c>
      <c r="B97" s="256" t="s">
        <v>41</v>
      </c>
      <c r="C97" s="164">
        <f>C99+C100+C101</f>
        <v>0.14249999999999999</v>
      </c>
      <c r="D97" s="162"/>
      <c r="E97" s="163"/>
    </row>
    <row r="98" spans="1:5" s="30" customFormat="1" x14ac:dyDescent="0.25">
      <c r="A98" s="123" t="s">
        <v>292</v>
      </c>
      <c r="B98" s="256" t="s">
        <v>288</v>
      </c>
      <c r="C98" s="206">
        <f>C99+C100</f>
        <v>9.2499999999999999E-2</v>
      </c>
      <c r="D98" s="126"/>
      <c r="E98" s="127"/>
    </row>
    <row r="99" spans="1:5" s="30" customFormat="1" x14ac:dyDescent="0.25">
      <c r="A99" s="123" t="s">
        <v>293</v>
      </c>
      <c r="B99" s="124" t="s">
        <v>289</v>
      </c>
      <c r="C99" s="125">
        <v>1.6500000000000001E-2</v>
      </c>
      <c r="D99" s="126">
        <f>+D96*C99</f>
        <v>227.45</v>
      </c>
      <c r="E99" s="127">
        <f>+E96*C99</f>
        <v>227.45</v>
      </c>
    </row>
    <row r="100" spans="1:5" s="30" customFormat="1" x14ac:dyDescent="0.25">
      <c r="A100" s="123" t="s">
        <v>294</v>
      </c>
      <c r="B100" s="124" t="s">
        <v>290</v>
      </c>
      <c r="C100" s="125">
        <v>7.5999999999999998E-2</v>
      </c>
      <c r="D100" s="126">
        <f>+D96*C100</f>
        <v>1047.6500000000001</v>
      </c>
      <c r="E100" s="127">
        <f>+E96*C100</f>
        <v>1047.6500000000001</v>
      </c>
    </row>
    <row r="101" spans="1:5" s="30" customFormat="1" x14ac:dyDescent="0.25">
      <c r="A101" s="123" t="s">
        <v>295</v>
      </c>
      <c r="B101" s="124" t="s">
        <v>291</v>
      </c>
      <c r="C101" s="125">
        <v>0.05</v>
      </c>
      <c r="D101" s="126">
        <f>+D96*C101</f>
        <v>689.25</v>
      </c>
      <c r="E101" s="127">
        <f>+E96*C101</f>
        <v>689.25</v>
      </c>
    </row>
    <row r="102" spans="1:5" s="30" customFormat="1" x14ac:dyDescent="0.25">
      <c r="A102" s="257"/>
      <c r="B102" s="157" t="s">
        <v>42</v>
      </c>
      <c r="C102" s="165">
        <f>C97</f>
        <v>0.14249999999999999</v>
      </c>
      <c r="D102" s="166">
        <f>SUM(D99:D101)</f>
        <v>1964.35</v>
      </c>
      <c r="E102" s="167">
        <f>SUM(E99:E101)</f>
        <v>1964.35</v>
      </c>
    </row>
    <row r="103" spans="1:5" s="30" customFormat="1" ht="15.75" customHeight="1" x14ac:dyDescent="0.25">
      <c r="A103" s="342" t="s">
        <v>43</v>
      </c>
      <c r="B103" s="343"/>
      <c r="C103" s="343"/>
      <c r="D103" s="63">
        <f>+D93+D94+D102</f>
        <v>3550.66</v>
      </c>
      <c r="E103" s="64">
        <f>+E93+E94+E102</f>
        <v>3550.66</v>
      </c>
    </row>
    <row r="104" spans="1:5" s="30" customFormat="1" ht="15.75" customHeight="1" x14ac:dyDescent="0.25">
      <c r="A104" s="360" t="s">
        <v>44</v>
      </c>
      <c r="B104" s="361"/>
      <c r="C104" s="361"/>
      <c r="D104" s="199" t="s">
        <v>10</v>
      </c>
      <c r="E104" s="200" t="s">
        <v>10</v>
      </c>
    </row>
    <row r="105" spans="1:5" s="30" customFormat="1" x14ac:dyDescent="0.25">
      <c r="A105" s="123" t="s">
        <v>0</v>
      </c>
      <c r="B105" s="362" t="s">
        <v>45</v>
      </c>
      <c r="C105" s="362"/>
      <c r="D105" s="126">
        <f>D25</f>
        <v>5357.2</v>
      </c>
      <c r="E105" s="127">
        <f>E25</f>
        <v>5357.2</v>
      </c>
    </row>
    <row r="106" spans="1:5" s="30" customFormat="1" x14ac:dyDescent="0.25">
      <c r="A106" s="123" t="s">
        <v>2</v>
      </c>
      <c r="B106" s="362" t="s">
        <v>152</v>
      </c>
      <c r="C106" s="362"/>
      <c r="D106" s="126">
        <f>D53</f>
        <v>3396.14</v>
      </c>
      <c r="E106" s="127">
        <f>E53</f>
        <v>3396.14</v>
      </c>
    </row>
    <row r="107" spans="1:5" s="30" customFormat="1" x14ac:dyDescent="0.25">
      <c r="A107" s="123" t="s">
        <v>3</v>
      </c>
      <c r="B107" s="362" t="s">
        <v>150</v>
      </c>
      <c r="C107" s="362"/>
      <c r="D107" s="126">
        <f>D61</f>
        <v>386.25</v>
      </c>
      <c r="E107" s="127">
        <f>E61</f>
        <v>386.25</v>
      </c>
    </row>
    <row r="108" spans="1:5" s="30" customFormat="1" x14ac:dyDescent="0.25">
      <c r="A108" s="123" t="s">
        <v>5</v>
      </c>
      <c r="B108" s="362" t="s">
        <v>143</v>
      </c>
      <c r="C108" s="362"/>
      <c r="D108" s="126">
        <f>D82</f>
        <v>255.02</v>
      </c>
      <c r="E108" s="127">
        <f>E82</f>
        <v>255.02</v>
      </c>
    </row>
    <row r="109" spans="1:5" s="30" customFormat="1" x14ac:dyDescent="0.25">
      <c r="A109" s="123" t="s">
        <v>20</v>
      </c>
      <c r="B109" s="362" t="s">
        <v>151</v>
      </c>
      <c r="C109" s="362"/>
      <c r="D109" s="126">
        <f>D89</f>
        <v>839.65</v>
      </c>
      <c r="E109" s="127">
        <f>E89</f>
        <v>839.65</v>
      </c>
    </row>
    <row r="110" spans="1:5" s="30" customFormat="1" ht="15.75" customHeight="1" x14ac:dyDescent="0.25">
      <c r="A110" s="363" t="s">
        <v>296</v>
      </c>
      <c r="B110" s="364"/>
      <c r="C110" s="364"/>
      <c r="D110" s="166">
        <f>SUM(D105:D109)</f>
        <v>10234.26</v>
      </c>
      <c r="E110" s="167">
        <f>SUM(E105:E109)</f>
        <v>10234.26</v>
      </c>
    </row>
    <row r="111" spans="1:5" s="30" customFormat="1" x14ac:dyDescent="0.25">
      <c r="A111" s="123" t="s">
        <v>21</v>
      </c>
      <c r="B111" s="362" t="s">
        <v>153</v>
      </c>
      <c r="C111" s="362"/>
      <c r="D111" s="126">
        <f>+D103</f>
        <v>3550.66</v>
      </c>
      <c r="E111" s="127">
        <f>+E103</f>
        <v>3550.66</v>
      </c>
    </row>
    <row r="112" spans="1:5" s="30" customFormat="1" ht="16.5" customHeight="1" thickBot="1" x14ac:dyDescent="0.3">
      <c r="A112" s="370" t="s">
        <v>46</v>
      </c>
      <c r="B112" s="371"/>
      <c r="C112" s="371"/>
      <c r="D112" s="170">
        <f>+D110+D111</f>
        <v>13784.92</v>
      </c>
      <c r="E112" s="171">
        <f>+E110+E111</f>
        <v>13784.92</v>
      </c>
    </row>
    <row r="113" spans="2:4" x14ac:dyDescent="0.25">
      <c r="C113" s="31"/>
      <c r="D113" s="31"/>
    </row>
    <row r="114" spans="2:4" x14ac:dyDescent="0.25">
      <c r="B114" s="28"/>
      <c r="C114" s="31"/>
      <c r="D114" s="31"/>
    </row>
    <row r="115" spans="2:4" x14ac:dyDescent="0.25">
      <c r="B115" s="28"/>
      <c r="C115" s="31"/>
      <c r="D115" s="31"/>
    </row>
    <row r="116" spans="2:4" x14ac:dyDescent="0.25">
      <c r="B116" s="28"/>
      <c r="C116" s="29"/>
      <c r="D116" s="29"/>
    </row>
    <row r="117" spans="2:4" x14ac:dyDescent="0.25">
      <c r="B117" s="28"/>
      <c r="C117" s="31"/>
      <c r="D117" s="31"/>
    </row>
    <row r="119" spans="2:4" x14ac:dyDescent="0.25">
      <c r="B119" s="36"/>
    </row>
    <row r="124" spans="2:4" x14ac:dyDescent="0.25">
      <c r="B124" s="28"/>
    </row>
  </sheetData>
  <mergeCells count="62">
    <mergeCell ref="A62:E62"/>
    <mergeCell ref="B63:C63"/>
    <mergeCell ref="A71:B71"/>
    <mergeCell ref="B111:C111"/>
    <mergeCell ref="A112:C112"/>
    <mergeCell ref="B105:C105"/>
    <mergeCell ref="B106:C106"/>
    <mergeCell ref="B107:C107"/>
    <mergeCell ref="B108:C108"/>
    <mergeCell ref="B109:C109"/>
    <mergeCell ref="A110:C110"/>
    <mergeCell ref="A76:E76"/>
    <mergeCell ref="A77:E77"/>
    <mergeCell ref="B78:C78"/>
    <mergeCell ref="A75:B75"/>
    <mergeCell ref="A61:B61"/>
    <mergeCell ref="A104:C104"/>
    <mergeCell ref="B84:C84"/>
    <mergeCell ref="B85:C85"/>
    <mergeCell ref="B86:C86"/>
    <mergeCell ref="B87:C87"/>
    <mergeCell ref="B88:C88"/>
    <mergeCell ref="A89:C89"/>
    <mergeCell ref="A90:C90"/>
    <mergeCell ref="A91:E91"/>
    <mergeCell ref="B92:C92"/>
    <mergeCell ref="A103:C103"/>
    <mergeCell ref="A83:E83"/>
    <mergeCell ref="A81:B81"/>
    <mergeCell ref="A82:C82"/>
    <mergeCell ref="B73:C73"/>
    <mergeCell ref="B55:C55"/>
    <mergeCell ref="A26:C26"/>
    <mergeCell ref="B27:C27"/>
    <mergeCell ref="A30:B30"/>
    <mergeCell ref="A31:E31"/>
    <mergeCell ref="B32:C32"/>
    <mergeCell ref="A41:B41"/>
    <mergeCell ref="B42:C42"/>
    <mergeCell ref="A48:C48"/>
    <mergeCell ref="A49:E49"/>
    <mergeCell ref="A53:C53"/>
    <mergeCell ref="A54:E54"/>
    <mergeCell ref="A25:C25"/>
    <mergeCell ref="C7:E7"/>
    <mergeCell ref="A8:E8"/>
    <mergeCell ref="A9:E9"/>
    <mergeCell ref="A10:E10"/>
    <mergeCell ref="A11:C11"/>
    <mergeCell ref="C12:E12"/>
    <mergeCell ref="C13:E13"/>
    <mergeCell ref="C14:E14"/>
    <mergeCell ref="C15:E15"/>
    <mergeCell ref="A16:C16"/>
    <mergeCell ref="B17:C17"/>
    <mergeCell ref="D11:E11"/>
    <mergeCell ref="C6:E6"/>
    <mergeCell ref="A1:E1"/>
    <mergeCell ref="A2:E2"/>
    <mergeCell ref="A3:E3"/>
    <mergeCell ref="C4:E4"/>
    <mergeCell ref="C5:E5"/>
  </mergeCells>
  <hyperlinks>
    <hyperlink ref="B38" r:id="rId1" display="08 - Sebrae 0,3% ou 0,6% - IN nº 03, MPS/SRP/2005, Anexo II e III ver código da Tabela" xr:uid="{00000000-0004-0000-0700-000000000000}"/>
  </hyperlinks>
  <pageMargins left="0.511811024" right="0.511811024" top="0.78740157499999996" bottom="0.78740157499999996" header="0.31496062000000002" footer="0.31496062000000002"/>
  <pageSetup paperSize="9" scale="36" orientation="portrait"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125"/>
  <sheetViews>
    <sheetView view="pageBreakPreview" topLeftCell="A92" zoomScaleNormal="115" zoomScaleSheetLayoutView="100" workbookViewId="0">
      <selection activeCell="E23" sqref="E23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4" width="15.7109375" style="32" customWidth="1"/>
    <col min="5" max="5" width="15.7109375" style="37" customWidth="1"/>
    <col min="6" max="6" width="9.140625" style="28" customWidth="1"/>
    <col min="7" max="16384" width="9.140625" style="28"/>
  </cols>
  <sheetData>
    <row r="1" spans="1:5" x14ac:dyDescent="0.25">
      <c r="A1" s="331"/>
      <c r="B1" s="332"/>
      <c r="C1" s="332"/>
      <c r="D1" s="332"/>
      <c r="E1" s="333"/>
    </row>
    <row r="2" spans="1:5" s="38" customFormat="1" ht="16.5" customHeight="1" x14ac:dyDescent="0.25">
      <c r="A2" s="367" t="s">
        <v>127</v>
      </c>
      <c r="B2" s="368"/>
      <c r="C2" s="368"/>
      <c r="D2" s="368"/>
      <c r="E2" s="369"/>
    </row>
    <row r="3" spans="1:5" s="38" customFormat="1" x14ac:dyDescent="0.25">
      <c r="A3" s="325" t="s">
        <v>126</v>
      </c>
      <c r="B3" s="326"/>
      <c r="C3" s="326"/>
      <c r="D3" s="326"/>
      <c r="E3" s="327"/>
    </row>
    <row r="4" spans="1:5" s="38" customFormat="1" ht="15" customHeight="1" x14ac:dyDescent="0.25">
      <c r="A4" s="74" t="s">
        <v>0</v>
      </c>
      <c r="B4" s="102" t="s">
        <v>1</v>
      </c>
      <c r="C4" s="334">
        <v>2025</v>
      </c>
      <c r="D4" s="334"/>
      <c r="E4" s="335"/>
    </row>
    <row r="5" spans="1:5" s="38" customFormat="1" ht="75" customHeight="1" x14ac:dyDescent="0.25">
      <c r="A5" s="74" t="s">
        <v>2</v>
      </c>
      <c r="B5" s="102" t="s">
        <v>135</v>
      </c>
      <c r="C5" s="336" t="s">
        <v>242</v>
      </c>
      <c r="D5" s="336"/>
      <c r="E5" s="337"/>
    </row>
    <row r="6" spans="1:5" s="38" customFormat="1" ht="15.75" customHeight="1" x14ac:dyDescent="0.25">
      <c r="A6" s="74" t="s">
        <v>3</v>
      </c>
      <c r="B6" s="102" t="s">
        <v>4</v>
      </c>
      <c r="C6" s="336" t="s">
        <v>245</v>
      </c>
      <c r="D6" s="336"/>
      <c r="E6" s="337"/>
    </row>
    <row r="7" spans="1:5" s="38" customFormat="1" x14ac:dyDescent="0.25">
      <c r="A7" s="74" t="s">
        <v>5</v>
      </c>
      <c r="B7" s="102" t="s">
        <v>300</v>
      </c>
      <c r="C7" s="336">
        <v>12</v>
      </c>
      <c r="D7" s="336"/>
      <c r="E7" s="337"/>
    </row>
    <row r="8" spans="1:5" s="38" customFormat="1" x14ac:dyDescent="0.25">
      <c r="A8" s="325" t="s">
        <v>6</v>
      </c>
      <c r="B8" s="326"/>
      <c r="C8" s="326"/>
      <c r="D8" s="326"/>
      <c r="E8" s="327"/>
    </row>
    <row r="9" spans="1:5" s="38" customFormat="1" x14ac:dyDescent="0.25">
      <c r="A9" s="325" t="s">
        <v>7</v>
      </c>
      <c r="B9" s="326"/>
      <c r="C9" s="326"/>
      <c r="D9" s="326"/>
      <c r="E9" s="327"/>
    </row>
    <row r="10" spans="1:5" s="38" customFormat="1" ht="15.75" customHeight="1" x14ac:dyDescent="0.25">
      <c r="A10" s="325" t="s">
        <v>8</v>
      </c>
      <c r="B10" s="326"/>
      <c r="C10" s="326"/>
      <c r="D10" s="326"/>
      <c r="E10" s="327"/>
    </row>
    <row r="11" spans="1:5" s="38" customFormat="1" ht="30" customHeight="1" x14ac:dyDescent="0.25">
      <c r="A11" s="328" t="s">
        <v>9</v>
      </c>
      <c r="B11" s="329"/>
      <c r="C11" s="329"/>
      <c r="D11" s="394" t="s">
        <v>10</v>
      </c>
      <c r="E11" s="395"/>
    </row>
    <row r="12" spans="1:5" s="38" customFormat="1" ht="60" customHeight="1" x14ac:dyDescent="0.25">
      <c r="A12" s="74">
        <v>1</v>
      </c>
      <c r="B12" s="247" t="s">
        <v>128</v>
      </c>
      <c r="C12" s="381" t="s">
        <v>243</v>
      </c>
      <c r="D12" s="381"/>
      <c r="E12" s="382"/>
    </row>
    <row r="13" spans="1:5" s="38" customFormat="1" ht="30" customHeight="1" x14ac:dyDescent="0.25">
      <c r="A13" s="74">
        <v>2</v>
      </c>
      <c r="B13" s="247" t="s">
        <v>11</v>
      </c>
      <c r="C13" s="392">
        <v>4750</v>
      </c>
      <c r="D13" s="392"/>
      <c r="E13" s="393"/>
    </row>
    <row r="14" spans="1:5" s="38" customFormat="1" ht="15.75" customHeight="1" x14ac:dyDescent="0.25">
      <c r="A14" s="74">
        <v>3</v>
      </c>
      <c r="B14" s="247" t="s">
        <v>12</v>
      </c>
      <c r="C14" s="381" t="s">
        <v>223</v>
      </c>
      <c r="D14" s="381"/>
      <c r="E14" s="382"/>
    </row>
    <row r="15" spans="1:5" s="38" customFormat="1" x14ac:dyDescent="0.25">
      <c r="A15" s="74">
        <v>4</v>
      </c>
      <c r="B15" s="248" t="s">
        <v>13</v>
      </c>
      <c r="C15" s="383">
        <v>2025</v>
      </c>
      <c r="D15" s="383"/>
      <c r="E15" s="384"/>
    </row>
    <row r="16" spans="1:5" s="39" customFormat="1" ht="30" x14ac:dyDescent="0.25">
      <c r="A16" s="346" t="s">
        <v>14</v>
      </c>
      <c r="B16" s="347"/>
      <c r="C16" s="347"/>
      <c r="D16" s="252" t="s">
        <v>250</v>
      </c>
      <c r="E16" s="264" t="s">
        <v>249</v>
      </c>
    </row>
    <row r="17" spans="1:5" s="39" customFormat="1" x14ac:dyDescent="0.25">
      <c r="A17" s="259">
        <v>1</v>
      </c>
      <c r="B17" s="354" t="s">
        <v>15</v>
      </c>
      <c r="C17" s="354"/>
      <c r="D17" s="103" t="s">
        <v>10</v>
      </c>
      <c r="E17" s="104" t="s">
        <v>10</v>
      </c>
    </row>
    <row r="18" spans="1:5" s="38" customFormat="1" ht="15.75" customHeight="1" x14ac:dyDescent="0.25">
      <c r="A18" s="105" t="s">
        <v>0</v>
      </c>
      <c r="B18" s="106" t="s">
        <v>16</v>
      </c>
      <c r="C18" s="248"/>
      <c r="D18" s="76">
        <f>C13</f>
        <v>4750</v>
      </c>
      <c r="E18" s="148">
        <f>C13</f>
        <v>4750</v>
      </c>
    </row>
    <row r="19" spans="1:5" s="38" customFormat="1" ht="15.75" customHeight="1" x14ac:dyDescent="0.25">
      <c r="A19" s="105" t="s">
        <v>2</v>
      </c>
      <c r="B19" s="106" t="s">
        <v>17</v>
      </c>
      <c r="C19" s="114"/>
      <c r="D19" s="112"/>
      <c r="E19" s="113"/>
    </row>
    <row r="20" spans="1:5" s="38" customFormat="1" ht="15.75" customHeight="1" x14ac:dyDescent="0.25">
      <c r="A20" s="105" t="s">
        <v>3</v>
      </c>
      <c r="B20" s="106" t="s">
        <v>18</v>
      </c>
      <c r="C20" s="111">
        <v>1518</v>
      </c>
      <c r="D20" s="112">
        <f>40%*C20</f>
        <v>607.20000000000005</v>
      </c>
      <c r="E20" s="113">
        <f>40%*C20</f>
        <v>607.20000000000005</v>
      </c>
    </row>
    <row r="21" spans="1:5" s="38" customFormat="1" ht="15.75" customHeight="1" x14ac:dyDescent="0.25">
      <c r="A21" s="105" t="s">
        <v>5</v>
      </c>
      <c r="B21" s="106" t="s">
        <v>19</v>
      </c>
      <c r="C21" s="114"/>
      <c r="D21" s="112">
        <f>((((D18+D20)/220)*20%)*8)*15</f>
        <v>584.41999999999996</v>
      </c>
      <c r="E21" s="112">
        <f>((((E18+E20)/220)*20%)*8)*15</f>
        <v>584.41999999999996</v>
      </c>
    </row>
    <row r="22" spans="1:5" s="38" customFormat="1" ht="15.75" customHeight="1" x14ac:dyDescent="0.25">
      <c r="A22" s="105" t="s">
        <v>20</v>
      </c>
      <c r="B22" s="106" t="s">
        <v>195</v>
      </c>
      <c r="C22" s="114"/>
      <c r="D22" s="112"/>
      <c r="E22" s="113"/>
    </row>
    <row r="23" spans="1:5" s="38" customFormat="1" x14ac:dyDescent="0.25">
      <c r="A23" s="105" t="s">
        <v>21</v>
      </c>
      <c r="B23" s="106" t="s">
        <v>133</v>
      </c>
      <c r="C23" s="115"/>
      <c r="D23" s="112"/>
      <c r="E23" s="113"/>
    </row>
    <row r="24" spans="1:5" s="38" customFormat="1" ht="15.75" customHeight="1" x14ac:dyDescent="0.25">
      <c r="A24" s="105" t="s">
        <v>22</v>
      </c>
      <c r="B24" s="116" t="s">
        <v>134</v>
      </c>
      <c r="C24" s="115"/>
      <c r="D24" s="112"/>
      <c r="E24" s="113"/>
    </row>
    <row r="25" spans="1:5" s="39" customFormat="1" ht="15.75" customHeight="1" x14ac:dyDescent="0.25">
      <c r="A25" s="344" t="s">
        <v>145</v>
      </c>
      <c r="B25" s="345"/>
      <c r="C25" s="345"/>
      <c r="D25" s="117">
        <f>SUM(D18:D24)</f>
        <v>5941.62</v>
      </c>
      <c r="E25" s="118">
        <f>SUM(E18:E24)</f>
        <v>5941.62</v>
      </c>
    </row>
    <row r="26" spans="1:5" s="39" customFormat="1" x14ac:dyDescent="0.25">
      <c r="A26" s="365" t="s">
        <v>48</v>
      </c>
      <c r="B26" s="366"/>
      <c r="C26" s="366"/>
      <c r="D26" s="366"/>
      <c r="E26" s="396"/>
    </row>
    <row r="27" spans="1:5" s="38" customFormat="1" x14ac:dyDescent="0.25">
      <c r="A27" s="257" t="s">
        <v>136</v>
      </c>
      <c r="B27" s="356" t="s">
        <v>196</v>
      </c>
      <c r="C27" s="372"/>
      <c r="D27" s="121" t="s">
        <v>10</v>
      </c>
      <c r="E27" s="122" t="s">
        <v>10</v>
      </c>
    </row>
    <row r="28" spans="1:5" s="38" customFormat="1" x14ac:dyDescent="0.25">
      <c r="A28" s="123" t="s">
        <v>0</v>
      </c>
      <c r="B28" s="124" t="s">
        <v>28</v>
      </c>
      <c r="C28" s="125">
        <f>1/12</f>
        <v>8.3299999999999999E-2</v>
      </c>
      <c r="D28" s="126">
        <f>(D25)*C28</f>
        <v>494.94</v>
      </c>
      <c r="E28" s="127">
        <f>(E25)*C28</f>
        <v>494.94</v>
      </c>
    </row>
    <row r="29" spans="1:5" s="38" customFormat="1" x14ac:dyDescent="0.25">
      <c r="A29" s="123" t="s">
        <v>2</v>
      </c>
      <c r="B29" s="124" t="s">
        <v>141</v>
      </c>
      <c r="C29" s="125">
        <v>0.1111</v>
      </c>
      <c r="D29" s="126">
        <f>(D25)*C29</f>
        <v>660.11</v>
      </c>
      <c r="E29" s="127">
        <f>(E25)*C29</f>
        <v>660.11</v>
      </c>
    </row>
    <row r="30" spans="1:5" x14ac:dyDescent="0.25">
      <c r="A30" s="342" t="s">
        <v>27</v>
      </c>
      <c r="B30" s="343"/>
      <c r="C30" s="128">
        <f>SUM(C28:C29)</f>
        <v>0.19439999999999999</v>
      </c>
      <c r="D30" s="63">
        <f>SUM(D28:D29)</f>
        <v>1155.05</v>
      </c>
      <c r="E30" s="64">
        <f>SUM(E28:E29)</f>
        <v>1155.05</v>
      </c>
    </row>
    <row r="31" spans="1:5" ht="32.25" customHeight="1" x14ac:dyDescent="0.25">
      <c r="A31" s="375" t="s">
        <v>181</v>
      </c>
      <c r="B31" s="376"/>
      <c r="C31" s="376"/>
      <c r="D31" s="376"/>
      <c r="E31" s="377"/>
    </row>
    <row r="32" spans="1:5" x14ac:dyDescent="0.25">
      <c r="A32" s="251" t="s">
        <v>136</v>
      </c>
      <c r="B32" s="373" t="s">
        <v>25</v>
      </c>
      <c r="C32" s="374"/>
      <c r="D32" s="129" t="s">
        <v>10</v>
      </c>
      <c r="E32" s="130" t="s">
        <v>10</v>
      </c>
    </row>
    <row r="33" spans="1:5" x14ac:dyDescent="0.25">
      <c r="A33" s="123" t="s">
        <v>0</v>
      </c>
      <c r="B33" s="131" t="s">
        <v>301</v>
      </c>
      <c r="C33" s="125">
        <v>0.2</v>
      </c>
      <c r="D33" s="126">
        <f t="shared" ref="D33:D40" si="0">($D$25+D$30)*C33</f>
        <v>1419.33</v>
      </c>
      <c r="E33" s="127">
        <f t="shared" ref="E33:E40" si="1">($E$25+E$30)*C33</f>
        <v>1419.33</v>
      </c>
    </row>
    <row r="34" spans="1:5" x14ac:dyDescent="0.25">
      <c r="A34" s="123" t="s">
        <v>2</v>
      </c>
      <c r="B34" s="131" t="s">
        <v>302</v>
      </c>
      <c r="C34" s="132">
        <v>2.5000000000000001E-2</v>
      </c>
      <c r="D34" s="126">
        <f t="shared" si="0"/>
        <v>177.42</v>
      </c>
      <c r="E34" s="127">
        <f t="shared" si="1"/>
        <v>177.42</v>
      </c>
    </row>
    <row r="35" spans="1:5" ht="45" x14ac:dyDescent="0.25">
      <c r="A35" s="123" t="s">
        <v>3</v>
      </c>
      <c r="B35" s="250" t="s">
        <v>303</v>
      </c>
      <c r="C35" s="132">
        <v>0.03</v>
      </c>
      <c r="D35" s="126">
        <f t="shared" si="0"/>
        <v>212.9</v>
      </c>
      <c r="E35" s="127">
        <f t="shared" si="1"/>
        <v>212.9</v>
      </c>
    </row>
    <row r="36" spans="1:5" x14ac:dyDescent="0.25">
      <c r="A36" s="123" t="s">
        <v>5</v>
      </c>
      <c r="B36" s="131" t="s">
        <v>304</v>
      </c>
      <c r="C36" s="132">
        <v>1.4999999999999999E-2</v>
      </c>
      <c r="D36" s="126">
        <f t="shared" si="0"/>
        <v>106.45</v>
      </c>
      <c r="E36" s="127">
        <f t="shared" si="1"/>
        <v>106.45</v>
      </c>
    </row>
    <row r="37" spans="1:5" x14ac:dyDescent="0.25">
      <c r="A37" s="123" t="s">
        <v>20</v>
      </c>
      <c r="B37" s="131" t="s">
        <v>305</v>
      </c>
      <c r="C37" s="132">
        <v>0.01</v>
      </c>
      <c r="D37" s="126">
        <f t="shared" si="0"/>
        <v>70.97</v>
      </c>
      <c r="E37" s="127">
        <f t="shared" si="1"/>
        <v>70.97</v>
      </c>
    </row>
    <row r="38" spans="1:5" x14ac:dyDescent="0.25">
      <c r="A38" s="123" t="s">
        <v>21</v>
      </c>
      <c r="B38" s="133" t="s">
        <v>199</v>
      </c>
      <c r="C38" s="132">
        <v>6.0000000000000001E-3</v>
      </c>
      <c r="D38" s="126">
        <f t="shared" si="0"/>
        <v>42.58</v>
      </c>
      <c r="E38" s="127">
        <f t="shared" si="1"/>
        <v>42.58</v>
      </c>
    </row>
    <row r="39" spans="1:5" ht="30" x14ac:dyDescent="0.25">
      <c r="A39" s="123" t="s">
        <v>22</v>
      </c>
      <c r="B39" s="250" t="s">
        <v>306</v>
      </c>
      <c r="C39" s="132">
        <v>2E-3</v>
      </c>
      <c r="D39" s="126">
        <f t="shared" si="0"/>
        <v>14.19</v>
      </c>
      <c r="E39" s="127">
        <f t="shared" si="1"/>
        <v>14.19</v>
      </c>
    </row>
    <row r="40" spans="1:5" x14ac:dyDescent="0.25">
      <c r="A40" s="123" t="s">
        <v>26</v>
      </c>
      <c r="B40" s="134" t="s">
        <v>198</v>
      </c>
      <c r="C40" s="132">
        <v>0.08</v>
      </c>
      <c r="D40" s="126">
        <f t="shared" si="0"/>
        <v>567.73</v>
      </c>
      <c r="E40" s="127">
        <f t="shared" si="1"/>
        <v>567.73</v>
      </c>
    </row>
    <row r="41" spans="1:5" s="30" customFormat="1" x14ac:dyDescent="0.25">
      <c r="A41" s="342" t="s">
        <v>27</v>
      </c>
      <c r="B41" s="343"/>
      <c r="C41" s="135">
        <f>SUM(C33:C40)</f>
        <v>0.36799999999999999</v>
      </c>
      <c r="D41" s="63">
        <f>SUM(D33:D40)</f>
        <v>2611.5700000000002</v>
      </c>
      <c r="E41" s="64">
        <f>SUM(E33:E40)</f>
        <v>2611.5700000000002</v>
      </c>
    </row>
    <row r="42" spans="1:5" s="30" customFormat="1" x14ac:dyDescent="0.25">
      <c r="A42" s="346" t="s">
        <v>165</v>
      </c>
      <c r="B42" s="347"/>
      <c r="C42" s="347"/>
      <c r="D42" s="347"/>
      <c r="E42" s="397"/>
    </row>
    <row r="43" spans="1:5" s="30" customFormat="1" x14ac:dyDescent="0.25">
      <c r="A43" s="138" t="s">
        <v>201</v>
      </c>
      <c r="B43" s="352" t="s">
        <v>202</v>
      </c>
      <c r="C43" s="353"/>
      <c r="D43" s="258"/>
      <c r="E43" s="264"/>
    </row>
    <row r="44" spans="1:5" s="30" customFormat="1" x14ac:dyDescent="0.25">
      <c r="A44" s="141" t="s">
        <v>0</v>
      </c>
      <c r="B44" s="142" t="s">
        <v>137</v>
      </c>
      <c r="C44" s="209"/>
      <c r="D44" s="143">
        <v>0</v>
      </c>
      <c r="E44" s="244">
        <v>0</v>
      </c>
    </row>
    <row r="45" spans="1:5" s="30" customFormat="1" x14ac:dyDescent="0.25">
      <c r="A45" s="146" t="s">
        <v>2</v>
      </c>
      <c r="B45" s="116" t="s">
        <v>182</v>
      </c>
      <c r="C45" s="147"/>
      <c r="D45" s="143">
        <v>0</v>
      </c>
      <c r="E45" s="244">
        <v>0</v>
      </c>
    </row>
    <row r="46" spans="1:5" s="30" customFormat="1" x14ac:dyDescent="0.25">
      <c r="A46" s="123" t="s">
        <v>3</v>
      </c>
      <c r="B46" s="124" t="s">
        <v>129</v>
      </c>
      <c r="C46" s="149"/>
      <c r="D46" s="143">
        <v>0</v>
      </c>
      <c r="E46" s="244">
        <v>0</v>
      </c>
    </row>
    <row r="47" spans="1:5" s="30" customFormat="1" x14ac:dyDescent="0.25">
      <c r="A47" s="123" t="s">
        <v>5</v>
      </c>
      <c r="B47" s="124" t="s">
        <v>130</v>
      </c>
      <c r="C47" s="125"/>
      <c r="D47" s="143">
        <v>0</v>
      </c>
      <c r="E47" s="244">
        <v>0</v>
      </c>
    </row>
    <row r="48" spans="1:5" s="30" customFormat="1" x14ac:dyDescent="0.25">
      <c r="A48" s="123" t="s">
        <v>20</v>
      </c>
      <c r="B48" s="124" t="s">
        <v>131</v>
      </c>
      <c r="C48" s="149"/>
      <c r="D48" s="143">
        <v>0</v>
      </c>
      <c r="E48" s="244">
        <v>0</v>
      </c>
    </row>
    <row r="49" spans="1:5" s="30" customFormat="1" ht="15.75" customHeight="1" x14ac:dyDescent="0.25">
      <c r="A49" s="342" t="s">
        <v>23</v>
      </c>
      <c r="B49" s="343"/>
      <c r="C49" s="343"/>
      <c r="D49" s="63">
        <f>SUM(D44:D48)</f>
        <v>0</v>
      </c>
      <c r="E49" s="64">
        <f>SUM(E44:E48)</f>
        <v>0</v>
      </c>
    </row>
    <row r="50" spans="1:5" s="30" customFormat="1" ht="15.75" customHeight="1" x14ac:dyDescent="0.25">
      <c r="A50" s="346" t="s">
        <v>209</v>
      </c>
      <c r="B50" s="347"/>
      <c r="C50" s="347"/>
      <c r="D50" s="347"/>
      <c r="E50" s="397"/>
    </row>
    <row r="51" spans="1:5" s="30" customFormat="1" ht="15.75" customHeight="1" x14ac:dyDescent="0.25">
      <c r="A51" s="259" t="s">
        <v>136</v>
      </c>
      <c r="B51" s="152" t="s">
        <v>138</v>
      </c>
      <c r="C51" s="260"/>
      <c r="D51" s="107">
        <f>D30</f>
        <v>1155.05</v>
      </c>
      <c r="E51" s="108">
        <f>E30</f>
        <v>1155.05</v>
      </c>
    </row>
    <row r="52" spans="1:5" s="30" customFormat="1" ht="15.75" customHeight="1" x14ac:dyDescent="0.25">
      <c r="A52" s="259" t="s">
        <v>200</v>
      </c>
      <c r="B52" s="152" t="s">
        <v>139</v>
      </c>
      <c r="C52" s="260"/>
      <c r="D52" s="107">
        <f>D41</f>
        <v>2611.5700000000002</v>
      </c>
      <c r="E52" s="108">
        <f>E41</f>
        <v>2611.5700000000002</v>
      </c>
    </row>
    <row r="53" spans="1:5" s="30" customFormat="1" ht="15.75" customHeight="1" x14ac:dyDescent="0.25">
      <c r="A53" s="259" t="s">
        <v>201</v>
      </c>
      <c r="B53" s="152" t="s">
        <v>140</v>
      </c>
      <c r="C53" s="260"/>
      <c r="D53" s="107">
        <f>D49</f>
        <v>0</v>
      </c>
      <c r="E53" s="108">
        <f>E49</f>
        <v>0</v>
      </c>
    </row>
    <row r="54" spans="1:5" s="30" customFormat="1" ht="15.75" customHeight="1" x14ac:dyDescent="0.25">
      <c r="A54" s="344" t="s">
        <v>146</v>
      </c>
      <c r="B54" s="345"/>
      <c r="C54" s="345"/>
      <c r="D54" s="117">
        <f>SUM(D51:D53)</f>
        <v>3766.62</v>
      </c>
      <c r="E54" s="118">
        <f>SUM(E51:E53)</f>
        <v>3766.62</v>
      </c>
    </row>
    <row r="55" spans="1:5" s="30" customFormat="1" ht="15.75" customHeight="1" x14ac:dyDescent="0.25">
      <c r="A55" s="365" t="s">
        <v>154</v>
      </c>
      <c r="B55" s="366"/>
      <c r="C55" s="366"/>
      <c r="D55" s="366"/>
      <c r="E55" s="396"/>
    </row>
    <row r="56" spans="1:5" s="30" customFormat="1" ht="15.75" customHeight="1" x14ac:dyDescent="0.25">
      <c r="A56" s="257" t="s">
        <v>191</v>
      </c>
      <c r="B56" s="356" t="s">
        <v>32</v>
      </c>
      <c r="C56" s="357"/>
      <c r="D56" s="121" t="s">
        <v>10</v>
      </c>
      <c r="E56" s="122" t="s">
        <v>10</v>
      </c>
    </row>
    <row r="57" spans="1:5" s="30" customFormat="1" ht="15.75" customHeight="1" x14ac:dyDescent="0.25">
      <c r="A57" s="123" t="s">
        <v>0</v>
      </c>
      <c r="B57" s="124" t="s">
        <v>33</v>
      </c>
      <c r="C57" s="125">
        <v>4.5999999999999999E-3</v>
      </c>
      <c r="D57" s="126">
        <f>D$25*C57</f>
        <v>27.33</v>
      </c>
      <c r="E57" s="127">
        <f>E$25*C57</f>
        <v>27.33</v>
      </c>
    </row>
    <row r="58" spans="1:5" s="30" customFormat="1" ht="15.75" customHeight="1" x14ac:dyDescent="0.25">
      <c r="A58" s="123" t="s">
        <v>2</v>
      </c>
      <c r="B58" s="124" t="s">
        <v>34</v>
      </c>
      <c r="C58" s="125">
        <v>4.0000000000000002E-4</v>
      </c>
      <c r="D58" s="126">
        <f>D$25*C58</f>
        <v>2.38</v>
      </c>
      <c r="E58" s="127">
        <f>E$25*C58</f>
        <v>2.38</v>
      </c>
    </row>
    <row r="59" spans="1:5" s="30" customFormat="1" ht="15.75" customHeight="1" x14ac:dyDescent="0.25">
      <c r="A59" s="123" t="s">
        <v>3</v>
      </c>
      <c r="B59" s="154" t="s">
        <v>35</v>
      </c>
      <c r="C59" s="125">
        <v>1.9400000000000001E-2</v>
      </c>
      <c r="D59" s="126">
        <f>D$25*C59</f>
        <v>115.27</v>
      </c>
      <c r="E59" s="127">
        <f>E$25*C59</f>
        <v>115.27</v>
      </c>
    </row>
    <row r="60" spans="1:5" s="30" customFormat="1" ht="30.75" customHeight="1" x14ac:dyDescent="0.25">
      <c r="A60" s="123" t="s">
        <v>5</v>
      </c>
      <c r="B60" s="124" t="s">
        <v>310</v>
      </c>
      <c r="C60" s="125">
        <v>7.7000000000000002E-3</v>
      </c>
      <c r="D60" s="126">
        <f>D$25*C60</f>
        <v>45.75</v>
      </c>
      <c r="E60" s="127">
        <f>E$25*C60</f>
        <v>45.75</v>
      </c>
    </row>
    <row r="61" spans="1:5" s="30" customFormat="1" ht="15.75" customHeight="1" x14ac:dyDescent="0.25">
      <c r="A61" s="123" t="s">
        <v>20</v>
      </c>
      <c r="B61" s="124" t="s">
        <v>142</v>
      </c>
      <c r="C61" s="125">
        <v>0.04</v>
      </c>
      <c r="D61" s="126">
        <f>D$25*C61</f>
        <v>237.66</v>
      </c>
      <c r="E61" s="127">
        <f>E$25*C61</f>
        <v>237.66</v>
      </c>
    </row>
    <row r="62" spans="1:5" s="30" customFormat="1" ht="15.75" customHeight="1" x14ac:dyDescent="0.25">
      <c r="A62" s="344" t="s">
        <v>147</v>
      </c>
      <c r="B62" s="345"/>
      <c r="C62" s="265">
        <f>SUM(C57:C61)</f>
        <v>7.2099999999999997E-2</v>
      </c>
      <c r="D62" s="117">
        <f>SUM(D57:D61)</f>
        <v>428.39</v>
      </c>
      <c r="E62" s="118">
        <f>SUM(E57:E61)</f>
        <v>428.39</v>
      </c>
    </row>
    <row r="63" spans="1:5" s="30" customFormat="1" x14ac:dyDescent="0.25">
      <c r="A63" s="365" t="s">
        <v>155</v>
      </c>
      <c r="B63" s="366"/>
      <c r="C63" s="366"/>
      <c r="D63" s="366"/>
      <c r="E63" s="396"/>
    </row>
    <row r="64" spans="1:5" s="30" customFormat="1" x14ac:dyDescent="0.25">
      <c r="A64" s="257" t="s">
        <v>190</v>
      </c>
      <c r="B64" s="358" t="s">
        <v>189</v>
      </c>
      <c r="C64" s="358"/>
      <c r="D64" s="121" t="s">
        <v>10</v>
      </c>
      <c r="E64" s="122" t="s">
        <v>10</v>
      </c>
    </row>
    <row r="65" spans="1:5" s="30" customFormat="1" x14ac:dyDescent="0.25">
      <c r="A65" s="123" t="s">
        <v>0</v>
      </c>
      <c r="B65" s="124" t="s">
        <v>183</v>
      </c>
      <c r="C65" s="125">
        <f>C29/12</f>
        <v>9.2999999999999992E-3</v>
      </c>
      <c r="D65" s="126">
        <f t="shared" ref="D65:D71" si="2">(D$25+D$54+D$62+D$86)*C65</f>
        <v>94.59</v>
      </c>
      <c r="E65" s="127">
        <f t="shared" ref="E65:E71" si="3">(E$25+E$54+E$62+E$86)*C65</f>
        <v>94.59</v>
      </c>
    </row>
    <row r="66" spans="1:5" s="30" customFormat="1" x14ac:dyDescent="0.25">
      <c r="A66" s="123" t="s">
        <v>2</v>
      </c>
      <c r="B66" s="124" t="s">
        <v>184</v>
      </c>
      <c r="C66" s="125">
        <v>1.3899999999999999E-2</v>
      </c>
      <c r="D66" s="126">
        <f t="shared" si="2"/>
        <v>141.37</v>
      </c>
      <c r="E66" s="127">
        <f t="shared" si="3"/>
        <v>141.37</v>
      </c>
    </row>
    <row r="67" spans="1:5" s="30" customFormat="1" x14ac:dyDescent="0.25">
      <c r="A67" s="123" t="s">
        <v>3</v>
      </c>
      <c r="B67" s="124" t="s">
        <v>187</v>
      </c>
      <c r="C67" s="125">
        <v>1.2999999999999999E-3</v>
      </c>
      <c r="D67" s="126">
        <f t="shared" si="2"/>
        <v>13.22</v>
      </c>
      <c r="E67" s="127">
        <f t="shared" si="3"/>
        <v>13.22</v>
      </c>
    </row>
    <row r="68" spans="1:5" s="30" customFormat="1" x14ac:dyDescent="0.25">
      <c r="A68" s="123" t="s">
        <v>5</v>
      </c>
      <c r="B68" s="124" t="s">
        <v>185</v>
      </c>
      <c r="C68" s="125">
        <v>2.0000000000000001E-4</v>
      </c>
      <c r="D68" s="126">
        <f t="shared" si="2"/>
        <v>2.0299999999999998</v>
      </c>
      <c r="E68" s="127">
        <f t="shared" si="3"/>
        <v>2.0299999999999998</v>
      </c>
    </row>
    <row r="69" spans="1:5" s="30" customFormat="1" x14ac:dyDescent="0.25">
      <c r="A69" s="123" t="s">
        <v>20</v>
      </c>
      <c r="B69" s="124" t="s">
        <v>299</v>
      </c>
      <c r="C69" s="125">
        <v>2.8E-3</v>
      </c>
      <c r="D69" s="126">
        <f t="shared" si="2"/>
        <v>28.48</v>
      </c>
      <c r="E69" s="127">
        <f t="shared" si="3"/>
        <v>28.48</v>
      </c>
    </row>
    <row r="70" spans="1:5" s="30" customFormat="1" x14ac:dyDescent="0.25">
      <c r="A70" s="123" t="s">
        <v>21</v>
      </c>
      <c r="B70" s="124" t="s">
        <v>186</v>
      </c>
      <c r="C70" s="125">
        <v>2.9999999999999997E-4</v>
      </c>
      <c r="D70" s="126">
        <f t="shared" si="2"/>
        <v>3.05</v>
      </c>
      <c r="E70" s="127">
        <f t="shared" si="3"/>
        <v>3.05</v>
      </c>
    </row>
    <row r="71" spans="1:5" s="30" customFormat="1" ht="15.75" customHeight="1" x14ac:dyDescent="0.25">
      <c r="A71" s="123" t="s">
        <v>22</v>
      </c>
      <c r="B71" s="256" t="s">
        <v>188</v>
      </c>
      <c r="C71" s="125">
        <v>0</v>
      </c>
      <c r="D71" s="126">
        <f t="shared" si="2"/>
        <v>0</v>
      </c>
      <c r="E71" s="127">
        <f t="shared" si="3"/>
        <v>0</v>
      </c>
    </row>
    <row r="72" spans="1:5" s="30" customFormat="1" x14ac:dyDescent="0.25">
      <c r="A72" s="342" t="s">
        <v>29</v>
      </c>
      <c r="B72" s="343"/>
      <c r="C72" s="135">
        <f>SUM(C65:C71)</f>
        <v>2.7799999999999998E-2</v>
      </c>
      <c r="D72" s="63">
        <f>SUM(D65:D71)</f>
        <v>282.74</v>
      </c>
      <c r="E72" s="64">
        <f>SUM(E65:E71)</f>
        <v>282.74</v>
      </c>
    </row>
    <row r="73" spans="1:5" s="30" customFormat="1" x14ac:dyDescent="0.25">
      <c r="A73" s="259"/>
      <c r="B73" s="260"/>
      <c r="C73" s="155"/>
      <c r="D73" s="155"/>
      <c r="E73" s="148"/>
    </row>
    <row r="74" spans="1:5" s="30" customFormat="1" x14ac:dyDescent="0.25">
      <c r="A74" s="259"/>
      <c r="B74" s="354" t="s">
        <v>192</v>
      </c>
      <c r="C74" s="355"/>
      <c r="D74" s="121" t="s">
        <v>10</v>
      </c>
      <c r="E74" s="122" t="s">
        <v>10</v>
      </c>
    </row>
    <row r="75" spans="1:5" s="30" customFormat="1" x14ac:dyDescent="0.25">
      <c r="A75" s="123" t="s">
        <v>0</v>
      </c>
      <c r="B75" s="124" t="s">
        <v>193</v>
      </c>
      <c r="C75" s="125">
        <v>0</v>
      </c>
      <c r="D75" s="126">
        <f>(D$25+D$54+D$62)*C75</f>
        <v>0</v>
      </c>
      <c r="E75" s="127">
        <f>(E$25+E$54+E$62)*C75</f>
        <v>0</v>
      </c>
    </row>
    <row r="76" spans="1:5" s="30" customFormat="1" ht="15.75" customHeight="1" x14ac:dyDescent="0.25">
      <c r="A76" s="342" t="s">
        <v>27</v>
      </c>
      <c r="B76" s="343"/>
      <c r="C76" s="156">
        <f>C75</f>
        <v>0</v>
      </c>
      <c r="D76" s="63">
        <f>D75</f>
        <v>0</v>
      </c>
      <c r="E76" s="64">
        <f>E75</f>
        <v>0</v>
      </c>
    </row>
    <row r="77" spans="1:5" s="30" customFormat="1" ht="15.75" customHeight="1" x14ac:dyDescent="0.25">
      <c r="A77" s="346" t="s">
        <v>30</v>
      </c>
      <c r="B77" s="347"/>
      <c r="C77" s="347"/>
      <c r="D77" s="347"/>
      <c r="E77" s="397"/>
    </row>
    <row r="78" spans="1:5" s="30" customFormat="1" ht="15.75" customHeight="1" x14ac:dyDescent="0.25">
      <c r="A78" s="390" t="s">
        <v>194</v>
      </c>
      <c r="B78" s="391"/>
      <c r="C78" s="391"/>
      <c r="D78" s="391"/>
      <c r="E78" s="398"/>
    </row>
    <row r="79" spans="1:5" s="30" customFormat="1" ht="15.75" customHeight="1" x14ac:dyDescent="0.25">
      <c r="A79" s="257">
        <v>4</v>
      </c>
      <c r="B79" s="356" t="s">
        <v>31</v>
      </c>
      <c r="C79" s="357"/>
      <c r="D79" s="121" t="s">
        <v>10</v>
      </c>
      <c r="E79" s="122" t="s">
        <v>10</v>
      </c>
    </row>
    <row r="80" spans="1:5" s="30" customFormat="1" ht="15.75" customHeight="1" x14ac:dyDescent="0.25">
      <c r="A80" s="123" t="s">
        <v>190</v>
      </c>
      <c r="B80" s="256" t="s">
        <v>189</v>
      </c>
      <c r="C80" s="125">
        <f>C72</f>
        <v>2.7799999999999998E-2</v>
      </c>
      <c r="D80" s="126">
        <f>D72</f>
        <v>282.74</v>
      </c>
      <c r="E80" s="127">
        <f>E72</f>
        <v>282.74</v>
      </c>
    </row>
    <row r="81" spans="1:5" s="30" customFormat="1" ht="15.75" customHeight="1" x14ac:dyDescent="0.25">
      <c r="A81" s="123" t="s">
        <v>206</v>
      </c>
      <c r="B81" s="256" t="s">
        <v>192</v>
      </c>
      <c r="C81" s="125">
        <v>0</v>
      </c>
      <c r="D81" s="126">
        <f>(D$25+D$54+D$62)*C81</f>
        <v>0</v>
      </c>
      <c r="E81" s="127">
        <f>(E$25+E$54+E$62)*C81</f>
        <v>0</v>
      </c>
    </row>
    <row r="82" spans="1:5" s="30" customFormat="1" ht="15.75" customHeight="1" x14ac:dyDescent="0.25">
      <c r="A82" s="342" t="s">
        <v>27</v>
      </c>
      <c r="B82" s="343"/>
      <c r="C82" s="128">
        <f>SUM(C80:C81)</f>
        <v>2.7799999999999998E-2</v>
      </c>
      <c r="D82" s="63">
        <f>SUM(D80:D81)</f>
        <v>282.74</v>
      </c>
      <c r="E82" s="64">
        <f>SUM(E80:E81)</f>
        <v>282.74</v>
      </c>
    </row>
    <row r="83" spans="1:5" s="30" customFormat="1" ht="15.75" customHeight="1" x14ac:dyDescent="0.25">
      <c r="A83" s="344" t="s">
        <v>148</v>
      </c>
      <c r="B83" s="345"/>
      <c r="C83" s="345"/>
      <c r="D83" s="117">
        <f>SUM(D76+D82)</f>
        <v>282.74</v>
      </c>
      <c r="E83" s="118">
        <f>SUM(E76+E82)</f>
        <v>282.74</v>
      </c>
    </row>
    <row r="84" spans="1:5" s="30" customFormat="1" ht="15.75" customHeight="1" x14ac:dyDescent="0.25">
      <c r="A84" s="365" t="s">
        <v>156</v>
      </c>
      <c r="B84" s="366"/>
      <c r="C84" s="366"/>
      <c r="D84" s="366"/>
      <c r="E84" s="396"/>
    </row>
    <row r="85" spans="1:5" s="30" customFormat="1" ht="15.75" customHeight="1" x14ac:dyDescent="0.25">
      <c r="A85" s="257">
        <v>5</v>
      </c>
      <c r="B85" s="356" t="s">
        <v>24</v>
      </c>
      <c r="C85" s="357"/>
      <c r="D85" s="121" t="s">
        <v>10</v>
      </c>
      <c r="E85" s="122" t="s">
        <v>10</v>
      </c>
    </row>
    <row r="86" spans="1:5" s="30" customFormat="1" ht="15.75" customHeight="1" x14ac:dyDescent="0.25">
      <c r="A86" s="146" t="s">
        <v>0</v>
      </c>
      <c r="B86" s="378" t="s">
        <v>207</v>
      </c>
      <c r="C86" s="378"/>
      <c r="D86" s="126">
        <f>Uniformes!H7</f>
        <v>33.93</v>
      </c>
      <c r="E86" s="127">
        <f>Uniformes!H7</f>
        <v>33.93</v>
      </c>
    </row>
    <row r="87" spans="1:5" s="30" customFormat="1" ht="15.75" customHeight="1" x14ac:dyDescent="0.25">
      <c r="A87" s="146" t="s">
        <v>2</v>
      </c>
      <c r="B87" s="378" t="s">
        <v>208</v>
      </c>
      <c r="C87" s="378"/>
      <c r="D87" s="126">
        <f>Materiais!H19</f>
        <v>40.090000000000003</v>
      </c>
      <c r="E87" s="127">
        <f>Materiais!H21</f>
        <v>40.090000000000003</v>
      </c>
    </row>
    <row r="88" spans="1:5" s="30" customFormat="1" ht="15.75" customHeight="1" x14ac:dyDescent="0.25">
      <c r="A88" s="146" t="s">
        <v>3</v>
      </c>
      <c r="B88" s="378" t="s">
        <v>178</v>
      </c>
      <c r="C88" s="378"/>
      <c r="D88" s="76">
        <f>Equipamentos!H19</f>
        <v>765.63</v>
      </c>
      <c r="E88" s="148">
        <f>Equipamentos!H21</f>
        <v>765.63</v>
      </c>
    </row>
    <row r="89" spans="1:5" s="30" customFormat="1" ht="15.75" customHeight="1" x14ac:dyDescent="0.25">
      <c r="A89" s="146" t="s">
        <v>5</v>
      </c>
      <c r="B89" s="378" t="s">
        <v>132</v>
      </c>
      <c r="C89" s="378"/>
      <c r="D89" s="126">
        <v>0</v>
      </c>
      <c r="E89" s="127">
        <v>0</v>
      </c>
    </row>
    <row r="90" spans="1:5" s="30" customFormat="1" ht="15.75" customHeight="1" x14ac:dyDescent="0.25">
      <c r="A90" s="344" t="s">
        <v>149</v>
      </c>
      <c r="B90" s="345"/>
      <c r="C90" s="345"/>
      <c r="D90" s="117">
        <f>SUM(D86:D89)</f>
        <v>839.65</v>
      </c>
      <c r="E90" s="118">
        <f>SUM(E86:E89)</f>
        <v>839.65</v>
      </c>
    </row>
    <row r="91" spans="1:5" s="30" customFormat="1" ht="30" customHeight="1" x14ac:dyDescent="0.25">
      <c r="A91" s="348" t="s">
        <v>210</v>
      </c>
      <c r="B91" s="349"/>
      <c r="C91" s="349"/>
      <c r="D91" s="159">
        <f>D90+D83+D62+D54+D25</f>
        <v>11259.02</v>
      </c>
      <c r="E91" s="160">
        <f>E90+E83+E62+E54+E25</f>
        <v>11259.02</v>
      </c>
    </row>
    <row r="92" spans="1:5" s="30" customFormat="1" ht="19.5" customHeight="1" x14ac:dyDescent="0.25">
      <c r="A92" s="365" t="s">
        <v>157</v>
      </c>
      <c r="B92" s="366"/>
      <c r="C92" s="366"/>
      <c r="D92" s="366"/>
      <c r="E92" s="396"/>
    </row>
    <row r="93" spans="1:5" s="30" customFormat="1" x14ac:dyDescent="0.25">
      <c r="A93" s="257">
        <v>6</v>
      </c>
      <c r="B93" s="356" t="s">
        <v>38</v>
      </c>
      <c r="C93" s="372"/>
      <c r="D93" s="121" t="s">
        <v>10</v>
      </c>
      <c r="E93" s="122" t="s">
        <v>10</v>
      </c>
    </row>
    <row r="94" spans="1:5" s="30" customFormat="1" x14ac:dyDescent="0.25">
      <c r="A94" s="123" t="s">
        <v>0</v>
      </c>
      <c r="B94" s="124" t="s">
        <v>39</v>
      </c>
      <c r="C94" s="161">
        <v>0.05</v>
      </c>
      <c r="D94" s="126">
        <f>+D91*C94</f>
        <v>562.95000000000005</v>
      </c>
      <c r="E94" s="127">
        <f>+E91*C94</f>
        <v>562.95000000000005</v>
      </c>
    </row>
    <row r="95" spans="1:5" s="30" customFormat="1" x14ac:dyDescent="0.25">
      <c r="A95" s="123" t="s">
        <v>2</v>
      </c>
      <c r="B95" s="124" t="s">
        <v>40</v>
      </c>
      <c r="C95" s="161">
        <v>0.1</v>
      </c>
      <c r="D95" s="126">
        <f>C95*(+D91+D94)</f>
        <v>1182.2</v>
      </c>
      <c r="E95" s="127">
        <f>C95*(+E91+E94)</f>
        <v>1182.2</v>
      </c>
    </row>
    <row r="96" spans="1:5" s="30" customFormat="1" ht="30" x14ac:dyDescent="0.25">
      <c r="A96" s="123"/>
      <c r="B96" s="124" t="s">
        <v>47</v>
      </c>
      <c r="C96" s="125">
        <f>1-C103</f>
        <v>0.85750000000000004</v>
      </c>
      <c r="D96" s="126">
        <f>+D91+D94+D95</f>
        <v>13004.17</v>
      </c>
      <c r="E96" s="127">
        <f>+E91+E94+E95</f>
        <v>13004.17</v>
      </c>
    </row>
    <row r="97" spans="1:5" s="30" customFormat="1" x14ac:dyDescent="0.25">
      <c r="A97" s="123"/>
      <c r="B97" s="256"/>
      <c r="C97" s="40"/>
      <c r="D97" s="162">
        <f>+D96/C96</f>
        <v>15165.21</v>
      </c>
      <c r="E97" s="163">
        <f>+E96/C96</f>
        <v>15165.21</v>
      </c>
    </row>
    <row r="98" spans="1:5" s="30" customFormat="1" x14ac:dyDescent="0.25">
      <c r="A98" s="123" t="s">
        <v>3</v>
      </c>
      <c r="B98" s="256" t="s">
        <v>41</v>
      </c>
      <c r="C98" s="164">
        <f>C100+C101+C102</f>
        <v>0.14249999999999999</v>
      </c>
      <c r="D98" s="162"/>
      <c r="E98" s="163"/>
    </row>
    <row r="99" spans="1:5" s="30" customFormat="1" x14ac:dyDescent="0.25">
      <c r="A99" s="123" t="s">
        <v>292</v>
      </c>
      <c r="B99" s="256" t="s">
        <v>288</v>
      </c>
      <c r="C99" s="206">
        <f>C100+C101</f>
        <v>9.2499999999999999E-2</v>
      </c>
      <c r="D99" s="126"/>
      <c r="E99" s="127"/>
    </row>
    <row r="100" spans="1:5" s="30" customFormat="1" x14ac:dyDescent="0.25">
      <c r="A100" s="123" t="s">
        <v>293</v>
      </c>
      <c r="B100" s="124" t="s">
        <v>289</v>
      </c>
      <c r="C100" s="125">
        <v>1.6500000000000001E-2</v>
      </c>
      <c r="D100" s="126">
        <f>+D97*C100</f>
        <v>250.23</v>
      </c>
      <c r="E100" s="127">
        <f>+E97*C100</f>
        <v>250.23</v>
      </c>
    </row>
    <row r="101" spans="1:5" s="30" customFormat="1" x14ac:dyDescent="0.25">
      <c r="A101" s="123" t="s">
        <v>294</v>
      </c>
      <c r="B101" s="124" t="s">
        <v>290</v>
      </c>
      <c r="C101" s="125">
        <v>7.5999999999999998E-2</v>
      </c>
      <c r="D101" s="126">
        <f>+D97*C101</f>
        <v>1152.56</v>
      </c>
      <c r="E101" s="127">
        <f>+E97*C101</f>
        <v>1152.56</v>
      </c>
    </row>
    <row r="102" spans="1:5" s="30" customFormat="1" x14ac:dyDescent="0.25">
      <c r="A102" s="123" t="s">
        <v>295</v>
      </c>
      <c r="B102" s="124" t="s">
        <v>291</v>
      </c>
      <c r="C102" s="125">
        <v>0.05</v>
      </c>
      <c r="D102" s="126">
        <f>+D97*C102</f>
        <v>758.26</v>
      </c>
      <c r="E102" s="127">
        <f>+E97*C102</f>
        <v>758.26</v>
      </c>
    </row>
    <row r="103" spans="1:5" s="30" customFormat="1" x14ac:dyDescent="0.25">
      <c r="A103" s="257"/>
      <c r="B103" s="157" t="s">
        <v>42</v>
      </c>
      <c r="C103" s="165">
        <f>C98</f>
        <v>0.14249999999999999</v>
      </c>
      <c r="D103" s="166">
        <f>SUM(D100:D102)</f>
        <v>2161.0500000000002</v>
      </c>
      <c r="E103" s="167">
        <f>SUM(E100:E102)</f>
        <v>2161.0500000000002</v>
      </c>
    </row>
    <row r="104" spans="1:5" s="30" customFormat="1" ht="15.75" customHeight="1" x14ac:dyDescent="0.25">
      <c r="A104" s="342" t="s">
        <v>43</v>
      </c>
      <c r="B104" s="343"/>
      <c r="C104" s="343"/>
      <c r="D104" s="63">
        <f>+D94+D95+D103</f>
        <v>3906.2</v>
      </c>
      <c r="E104" s="64">
        <f>+E94+E95+E103</f>
        <v>3906.2</v>
      </c>
    </row>
    <row r="105" spans="1:5" s="30" customFormat="1" ht="15.75" customHeight="1" x14ac:dyDescent="0.25">
      <c r="A105" s="388" t="s">
        <v>44</v>
      </c>
      <c r="B105" s="389"/>
      <c r="C105" s="389"/>
      <c r="D105" s="168" t="s">
        <v>10</v>
      </c>
      <c r="E105" s="169" t="s">
        <v>10</v>
      </c>
    </row>
    <row r="106" spans="1:5" s="30" customFormat="1" x14ac:dyDescent="0.25">
      <c r="A106" s="123" t="s">
        <v>0</v>
      </c>
      <c r="B106" s="362" t="s">
        <v>45</v>
      </c>
      <c r="C106" s="362"/>
      <c r="D106" s="126">
        <f>+D25</f>
        <v>5941.62</v>
      </c>
      <c r="E106" s="127">
        <f>+E25</f>
        <v>5941.62</v>
      </c>
    </row>
    <row r="107" spans="1:5" s="30" customFormat="1" x14ac:dyDescent="0.25">
      <c r="A107" s="123" t="s">
        <v>2</v>
      </c>
      <c r="B107" s="362" t="s">
        <v>152</v>
      </c>
      <c r="C107" s="362"/>
      <c r="D107" s="126">
        <f>+D54</f>
        <v>3766.62</v>
      </c>
      <c r="E107" s="127">
        <f>+E54</f>
        <v>3766.62</v>
      </c>
    </row>
    <row r="108" spans="1:5" s="30" customFormat="1" x14ac:dyDescent="0.25">
      <c r="A108" s="123" t="s">
        <v>3</v>
      </c>
      <c r="B108" s="362" t="s">
        <v>150</v>
      </c>
      <c r="C108" s="362"/>
      <c r="D108" s="126">
        <f>D62</f>
        <v>428.39</v>
      </c>
      <c r="E108" s="127">
        <f>E62</f>
        <v>428.39</v>
      </c>
    </row>
    <row r="109" spans="1:5" s="30" customFormat="1" x14ac:dyDescent="0.25">
      <c r="A109" s="123" t="s">
        <v>5</v>
      </c>
      <c r="B109" s="362" t="s">
        <v>143</v>
      </c>
      <c r="C109" s="362"/>
      <c r="D109" s="126">
        <f>D83</f>
        <v>282.74</v>
      </c>
      <c r="E109" s="127">
        <f>E83</f>
        <v>282.74</v>
      </c>
    </row>
    <row r="110" spans="1:5" s="30" customFormat="1" x14ac:dyDescent="0.25">
      <c r="A110" s="123" t="s">
        <v>20</v>
      </c>
      <c r="B110" s="362" t="s">
        <v>151</v>
      </c>
      <c r="C110" s="362"/>
      <c r="D110" s="126">
        <f>D90</f>
        <v>839.65</v>
      </c>
      <c r="E110" s="127">
        <f>E90</f>
        <v>839.65</v>
      </c>
    </row>
    <row r="111" spans="1:5" s="30" customFormat="1" ht="15.75" customHeight="1" x14ac:dyDescent="0.25">
      <c r="A111" s="363" t="s">
        <v>296</v>
      </c>
      <c r="B111" s="364"/>
      <c r="C111" s="364"/>
      <c r="D111" s="166">
        <f>SUM(D106:D110)</f>
        <v>11259.02</v>
      </c>
      <c r="E111" s="167">
        <f>SUM(E106:E110)</f>
        <v>11259.02</v>
      </c>
    </row>
    <row r="112" spans="1:5" s="30" customFormat="1" x14ac:dyDescent="0.25">
      <c r="A112" s="123" t="s">
        <v>21</v>
      </c>
      <c r="B112" s="362" t="s">
        <v>153</v>
      </c>
      <c r="C112" s="362"/>
      <c r="D112" s="126">
        <f>+D104</f>
        <v>3906.2</v>
      </c>
      <c r="E112" s="127">
        <f>+E104</f>
        <v>3906.2</v>
      </c>
    </row>
    <row r="113" spans="1:5" s="30" customFormat="1" ht="16.5" customHeight="1" thickBot="1" x14ac:dyDescent="0.3">
      <c r="A113" s="370" t="s">
        <v>46</v>
      </c>
      <c r="B113" s="371"/>
      <c r="C113" s="371"/>
      <c r="D113" s="170">
        <f>+D111+D112</f>
        <v>15165.22</v>
      </c>
      <c r="E113" s="171">
        <f>+E111+E112</f>
        <v>15165.22</v>
      </c>
    </row>
    <row r="114" spans="1:5" x14ac:dyDescent="0.25">
      <c r="C114" s="31"/>
      <c r="D114" s="31"/>
      <c r="E114" s="33"/>
    </row>
    <row r="115" spans="1:5" x14ac:dyDescent="0.25">
      <c r="B115" s="28"/>
      <c r="C115" s="31"/>
      <c r="D115" s="31"/>
      <c r="E115" s="34"/>
    </row>
    <row r="116" spans="1:5" x14ac:dyDescent="0.25">
      <c r="B116" s="28"/>
      <c r="C116" s="31"/>
      <c r="D116" s="31"/>
      <c r="E116" s="34" t="s">
        <v>126</v>
      </c>
    </row>
    <row r="117" spans="1:5" x14ac:dyDescent="0.25">
      <c r="B117" s="28"/>
      <c r="C117" s="359"/>
      <c r="D117" s="359"/>
      <c r="E117" s="359"/>
    </row>
    <row r="118" spans="1:5" x14ac:dyDescent="0.25">
      <c r="B118" s="28"/>
      <c r="C118" s="31"/>
      <c r="D118" s="31"/>
      <c r="E118" s="35"/>
    </row>
    <row r="120" spans="1:5" x14ac:dyDescent="0.25">
      <c r="B120" s="36"/>
    </row>
    <row r="125" spans="1:5" x14ac:dyDescent="0.25">
      <c r="B125" s="28"/>
    </row>
  </sheetData>
  <mergeCells count="64">
    <mergeCell ref="A111:C111"/>
    <mergeCell ref="B112:C112"/>
    <mergeCell ref="A113:C113"/>
    <mergeCell ref="C117:E117"/>
    <mergeCell ref="A105:C105"/>
    <mergeCell ref="B106:C106"/>
    <mergeCell ref="B107:C107"/>
    <mergeCell ref="B108:C108"/>
    <mergeCell ref="B109:C109"/>
    <mergeCell ref="B110:C110"/>
    <mergeCell ref="A104:C104"/>
    <mergeCell ref="A84:E84"/>
    <mergeCell ref="B85:C85"/>
    <mergeCell ref="B86:C86"/>
    <mergeCell ref="B87:C87"/>
    <mergeCell ref="B88:C88"/>
    <mergeCell ref="B89:C89"/>
    <mergeCell ref="A90:C90"/>
    <mergeCell ref="A91:C91"/>
    <mergeCell ref="A92:E92"/>
    <mergeCell ref="B93:C93"/>
    <mergeCell ref="A83:C83"/>
    <mergeCell ref="B56:C56"/>
    <mergeCell ref="A63:E63"/>
    <mergeCell ref="B64:C64"/>
    <mergeCell ref="A72:B72"/>
    <mergeCell ref="B74:C74"/>
    <mergeCell ref="A76:B76"/>
    <mergeCell ref="A77:E77"/>
    <mergeCell ref="A78:E78"/>
    <mergeCell ref="B79:C79"/>
    <mergeCell ref="A82:B82"/>
    <mergeCell ref="A62:B62"/>
    <mergeCell ref="A55:E55"/>
    <mergeCell ref="A26:E26"/>
    <mergeCell ref="B27:C27"/>
    <mergeCell ref="A30:B30"/>
    <mergeCell ref="A31:E31"/>
    <mergeCell ref="B32:C32"/>
    <mergeCell ref="A41:B41"/>
    <mergeCell ref="A42:E42"/>
    <mergeCell ref="B43:C43"/>
    <mergeCell ref="A49:C49"/>
    <mergeCell ref="A50:E50"/>
    <mergeCell ref="A54:C54"/>
    <mergeCell ref="A25:C25"/>
    <mergeCell ref="C7:E7"/>
    <mergeCell ref="A8:E8"/>
    <mergeCell ref="A9:E9"/>
    <mergeCell ref="A10:E10"/>
    <mergeCell ref="A11:C11"/>
    <mergeCell ref="C12:E12"/>
    <mergeCell ref="C13:E13"/>
    <mergeCell ref="C14:E14"/>
    <mergeCell ref="C15:E15"/>
    <mergeCell ref="A16:C16"/>
    <mergeCell ref="B17:C17"/>
    <mergeCell ref="D11:E11"/>
    <mergeCell ref="C6:E6"/>
    <mergeCell ref="A1:E1"/>
    <mergeCell ref="A2:E2"/>
    <mergeCell ref="A3:E3"/>
    <mergeCell ref="C4:E4"/>
    <mergeCell ref="C5:E5"/>
  </mergeCells>
  <hyperlinks>
    <hyperlink ref="B38" r:id="rId1" display="08 - Sebrae 0,3% ou 0,6% - IN nº 03, MPS/SRP/2005, Anexo II e III ver código da Tabela" xr:uid="{00000000-0004-0000-0800-000000000000}"/>
  </hyperlinks>
  <pageMargins left="0.511811024" right="0.511811024" top="0.78740157499999996" bottom="0.78740157499999996" header="0.31496062000000002" footer="0.31496062000000002"/>
  <pageSetup paperSize="9" scale="36" orientation="portrait"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20</vt:i4>
      </vt:variant>
    </vt:vector>
  </HeadingPairs>
  <TitlesOfParts>
    <vt:vector size="34" baseType="lpstr">
      <vt:lpstr>Plan2</vt:lpstr>
      <vt:lpstr>Plan3</vt:lpstr>
      <vt:lpstr>Planilha</vt:lpstr>
      <vt:lpstr>Motorista - Diurno</vt:lpstr>
      <vt:lpstr>Motorista - Noturno</vt:lpstr>
      <vt:lpstr>Técnico de Enfermagem - Diurno</vt:lpstr>
      <vt:lpstr>Técnico de Enfermagem - Noturno</vt:lpstr>
      <vt:lpstr>Enfermeiro - Diurno</vt:lpstr>
      <vt:lpstr>Enfermeiro - Noturno</vt:lpstr>
      <vt:lpstr>Médico - Diurno </vt:lpstr>
      <vt:lpstr>Médico - Noturno</vt:lpstr>
      <vt:lpstr>Uniformes</vt:lpstr>
      <vt:lpstr>Materiais</vt:lpstr>
      <vt:lpstr>Equipamentos</vt:lpstr>
      <vt:lpstr>'Enfermeiro - Diurno'!Area_de_impressao</vt:lpstr>
      <vt:lpstr>'Enfermeiro - Noturno'!Area_de_impressao</vt:lpstr>
      <vt:lpstr>Equipamentos!Area_de_impressao</vt:lpstr>
      <vt:lpstr>Materiais!Area_de_impressao</vt:lpstr>
      <vt:lpstr>'Médico - Diurno '!Area_de_impressao</vt:lpstr>
      <vt:lpstr>'Médico - Noturno'!Area_de_impressao</vt:lpstr>
      <vt:lpstr>'Motorista - Diurno'!Area_de_impressao</vt:lpstr>
      <vt:lpstr>'Motorista - Noturno'!Area_de_impressao</vt:lpstr>
      <vt:lpstr>Planilha!Area_de_impressao</vt:lpstr>
      <vt:lpstr>'Técnico de Enfermagem - Diurno'!Area_de_impressao</vt:lpstr>
      <vt:lpstr>'Técnico de Enfermagem - Noturno'!Area_de_impressao</vt:lpstr>
      <vt:lpstr>Uniformes!Area_de_impressao</vt:lpstr>
      <vt:lpstr>'Enfermeiro - Diurno'!Titulos_de_impressao</vt:lpstr>
      <vt:lpstr>'Enfermeiro - Noturno'!Titulos_de_impressao</vt:lpstr>
      <vt:lpstr>'Médico - Diurno '!Titulos_de_impressao</vt:lpstr>
      <vt:lpstr>'Médico - Noturno'!Titulos_de_impressao</vt:lpstr>
      <vt:lpstr>'Motorista - Diurno'!Titulos_de_impressao</vt:lpstr>
      <vt:lpstr>'Motorista - Noturno'!Titulos_de_impressao</vt:lpstr>
      <vt:lpstr>'Técnico de Enfermagem - Diurno'!Titulos_de_impressao</vt:lpstr>
      <vt:lpstr>'Técnico de Enfermagem - Noturno'!Titulos_de_impressao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USER</cp:lastModifiedBy>
  <cp:lastPrinted>2025-04-24T17:34:18Z</cp:lastPrinted>
  <dcterms:created xsi:type="dcterms:W3CDTF">2014-04-11T01:53:38Z</dcterms:created>
  <dcterms:modified xsi:type="dcterms:W3CDTF">2025-05-18T00:24:45Z</dcterms:modified>
</cp:coreProperties>
</file>